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wet6\Documents\HandbookIRR5thEdition\VOL2ICC\chap6\examples\"/>
    </mc:Choice>
  </mc:AlternateContent>
  <xr:revisionPtr revIDLastSave="0" documentId="13_ncr:1_{67DDCA24-21D4-4367-9F7C-BB2C6A28F7F0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Example 6.1" sheetId="1" r:id="rId1"/>
    <sheet name="Example 6.2" sheetId="4" r:id="rId2"/>
    <sheet name="Examples 6.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6" i="2"/>
  <c r="E6" i="2" s="1"/>
  <c r="D7" i="2" l="1"/>
  <c r="D8" i="2" s="1"/>
  <c r="D9" i="2" s="1"/>
  <c r="D10" i="2" s="1"/>
  <c r="D11" i="2" s="1"/>
  <c r="E11" i="2" s="1"/>
  <c r="C6" i="4"/>
  <c r="B8" i="2" s="1"/>
  <c r="J7" i="2" s="1"/>
  <c r="C11" i="4"/>
  <c r="C14" i="4" s="1"/>
  <c r="T8" i="4"/>
  <c r="N27" i="4" s="1"/>
  <c r="S8" i="4"/>
  <c r="M27" i="4" s="1"/>
  <c r="R8" i="4"/>
  <c r="L25" i="4" s="1"/>
  <c r="T7" i="4"/>
  <c r="S7" i="4"/>
  <c r="M30" i="4" s="1"/>
  <c r="R7" i="4"/>
  <c r="L30" i="4" s="1"/>
  <c r="T6" i="4"/>
  <c r="N35" i="4" s="1"/>
  <c r="S6" i="4"/>
  <c r="M35" i="4" s="1"/>
  <c r="R6" i="4"/>
  <c r="L35" i="4" s="1"/>
  <c r="T5" i="4"/>
  <c r="N32" i="4" s="1"/>
  <c r="S5" i="4"/>
  <c r="M32" i="4" s="1"/>
  <c r="R5" i="4"/>
  <c r="L33" i="4" s="1"/>
  <c r="T4" i="4"/>
  <c r="N24" i="4" s="1"/>
  <c r="S4" i="4"/>
  <c r="M22" i="4" s="1"/>
  <c r="R4" i="4"/>
  <c r="L22" i="4" s="1"/>
  <c r="Q8" i="4"/>
  <c r="K27" i="4" s="1"/>
  <c r="Q7" i="4"/>
  <c r="K30" i="4" s="1"/>
  <c r="Q6" i="4"/>
  <c r="K35" i="4" s="1"/>
  <c r="Q5" i="4"/>
  <c r="K31" i="4" s="1"/>
  <c r="Q4" i="4"/>
  <c r="K22" i="4" s="1"/>
  <c r="E9" i="2" l="1"/>
  <c r="E7" i="2"/>
  <c r="E8" i="2"/>
  <c r="E10" i="2"/>
  <c r="M25" i="4"/>
  <c r="N33" i="4"/>
  <c r="M26" i="4"/>
  <c r="T9" i="4"/>
  <c r="N22" i="4"/>
  <c r="N31" i="4"/>
  <c r="N23" i="4"/>
  <c r="M33" i="4"/>
  <c r="L24" i="4"/>
  <c r="M34" i="4"/>
  <c r="K34" i="4"/>
  <c r="L28" i="4"/>
  <c r="N34" i="4"/>
  <c r="M28" i="4"/>
  <c r="L29" i="4"/>
  <c r="S9" i="4"/>
  <c r="K26" i="4"/>
  <c r="U6" i="4"/>
  <c r="L23" i="4"/>
  <c r="M29" i="4"/>
  <c r="F10" i="2"/>
  <c r="K5" i="2"/>
  <c r="K10" i="2"/>
  <c r="K8" i="2"/>
  <c r="J10" i="2"/>
  <c r="K6" i="2"/>
  <c r="F8" i="2"/>
  <c r="K11" i="2"/>
  <c r="K23" i="4"/>
  <c r="N30" i="4"/>
  <c r="L36" i="4"/>
  <c r="Q9" i="4"/>
  <c r="Q10" i="4" s="1"/>
  <c r="K24" i="4"/>
  <c r="K32" i="4"/>
  <c r="N25" i="4"/>
  <c r="J8" i="2"/>
  <c r="F11" i="2"/>
  <c r="F6" i="2"/>
  <c r="U8" i="4"/>
  <c r="L31" i="4"/>
  <c r="M36" i="4"/>
  <c r="R9" i="4"/>
  <c r="K25" i="4"/>
  <c r="K33" i="4"/>
  <c r="M23" i="4"/>
  <c r="L26" i="4"/>
  <c r="N28" i="4"/>
  <c r="M31" i="4"/>
  <c r="L34" i="4"/>
  <c r="N36" i="4"/>
  <c r="F7" i="2"/>
  <c r="K9" i="2"/>
  <c r="U4" i="4"/>
  <c r="U5" i="4"/>
  <c r="U9" i="4"/>
  <c r="K28" i="4"/>
  <c r="K36" i="4"/>
  <c r="M24" i="4"/>
  <c r="L27" i="4"/>
  <c r="N29" i="4"/>
  <c r="K7" i="2"/>
  <c r="J9" i="2"/>
  <c r="J6" i="2"/>
  <c r="N26" i="4"/>
  <c r="K29" i="4"/>
  <c r="J11" i="2"/>
  <c r="J5" i="2"/>
  <c r="F9" i="2"/>
  <c r="L32" i="4"/>
  <c r="U7" i="4"/>
  <c r="F5" i="2"/>
  <c r="T10" i="4" l="1"/>
  <c r="S10" i="4"/>
  <c r="T16" i="4"/>
  <c r="R10" i="4"/>
  <c r="C12" i="4" s="1"/>
  <c r="C9" i="4"/>
  <c r="B11" i="2" s="1"/>
  <c r="T15" i="4"/>
  <c r="T18" i="4"/>
  <c r="Q18" i="4"/>
  <c r="T19" i="4"/>
  <c r="V5" i="4"/>
  <c r="S18" i="4"/>
  <c r="V7" i="4"/>
  <c r="R18" i="4"/>
  <c r="T17" i="4"/>
  <c r="R17" i="4"/>
  <c r="V6" i="4"/>
  <c r="S19" i="4"/>
  <c r="R16" i="4"/>
  <c r="Q16" i="4"/>
  <c r="R15" i="4"/>
  <c r="V4" i="4"/>
  <c r="Q15" i="4"/>
  <c r="Q17" i="4"/>
  <c r="S17" i="4"/>
  <c r="R19" i="4"/>
  <c r="Q19" i="4"/>
  <c r="V8" i="4"/>
  <c r="S16" i="4"/>
  <c r="S15" i="4"/>
  <c r="M24" i="1"/>
  <c r="L24" i="1"/>
  <c r="K24" i="1"/>
  <c r="J24" i="1"/>
  <c r="I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L23" i="1"/>
  <c r="F74" i="1" s="1"/>
  <c r="K23" i="1"/>
  <c r="E73" i="1" s="1"/>
  <c r="J23" i="1"/>
  <c r="D73" i="1" s="1"/>
  <c r="L22" i="1"/>
  <c r="K22" i="1"/>
  <c r="E72" i="1" s="1"/>
  <c r="J22" i="1"/>
  <c r="L21" i="1"/>
  <c r="F70" i="1" s="1"/>
  <c r="K21" i="1"/>
  <c r="E70" i="1" s="1"/>
  <c r="J21" i="1"/>
  <c r="D70" i="1" s="1"/>
  <c r="L20" i="1"/>
  <c r="K20" i="1"/>
  <c r="J20" i="1"/>
  <c r="D68" i="1" s="1"/>
  <c r="L19" i="1"/>
  <c r="F66" i="1" s="1"/>
  <c r="K19" i="1"/>
  <c r="E65" i="1" s="1"/>
  <c r="J19" i="1"/>
  <c r="D65" i="1" s="1"/>
  <c r="L18" i="1"/>
  <c r="K18" i="1"/>
  <c r="E64" i="1" s="1"/>
  <c r="J18" i="1"/>
  <c r="D64" i="1" s="1"/>
  <c r="L17" i="1"/>
  <c r="F62" i="1" s="1"/>
  <c r="K17" i="1"/>
  <c r="E62" i="1" s="1"/>
  <c r="J17" i="1"/>
  <c r="D62" i="1" s="1"/>
  <c r="L16" i="1"/>
  <c r="K16" i="1"/>
  <c r="J16" i="1"/>
  <c r="D60" i="1" s="1"/>
  <c r="L15" i="1"/>
  <c r="F58" i="1" s="1"/>
  <c r="K15" i="1"/>
  <c r="E57" i="1" s="1"/>
  <c r="J15" i="1"/>
  <c r="D57" i="1" s="1"/>
  <c r="L14" i="1"/>
  <c r="K14" i="1"/>
  <c r="J14" i="1"/>
  <c r="L13" i="1"/>
  <c r="F54" i="1" s="1"/>
  <c r="K13" i="1"/>
  <c r="E54" i="1" s="1"/>
  <c r="J13" i="1"/>
  <c r="D54" i="1" s="1"/>
  <c r="L12" i="1"/>
  <c r="K12" i="1"/>
  <c r="J12" i="1"/>
  <c r="D52" i="1" s="1"/>
  <c r="L11" i="1"/>
  <c r="F50" i="1" s="1"/>
  <c r="K11" i="1"/>
  <c r="J11" i="1"/>
  <c r="D49" i="1" s="1"/>
  <c r="L10" i="1"/>
  <c r="F47" i="1" s="1"/>
  <c r="K10" i="1"/>
  <c r="J10" i="1"/>
  <c r="D48" i="1" s="1"/>
  <c r="L9" i="1"/>
  <c r="F45" i="1" s="1"/>
  <c r="K9" i="1"/>
  <c r="E46" i="1" s="1"/>
  <c r="J9" i="1"/>
  <c r="D46" i="1" s="1"/>
  <c r="L8" i="1"/>
  <c r="F43" i="1" s="1"/>
  <c r="K8" i="1"/>
  <c r="E43" i="1" s="1"/>
  <c r="J8" i="1"/>
  <c r="D43" i="1" s="1"/>
  <c r="I23" i="1"/>
  <c r="C74" i="1" s="1"/>
  <c r="I22" i="1"/>
  <c r="C72" i="1" s="1"/>
  <c r="I21" i="1"/>
  <c r="C69" i="1" s="1"/>
  <c r="I20" i="1"/>
  <c r="C68" i="1" s="1"/>
  <c r="I19" i="1"/>
  <c r="C65" i="1" s="1"/>
  <c r="I18" i="1"/>
  <c r="C64" i="1" s="1"/>
  <c r="I17" i="1"/>
  <c r="C61" i="1" s="1"/>
  <c r="I16" i="1"/>
  <c r="C60" i="1" s="1"/>
  <c r="I15" i="1"/>
  <c r="C58" i="1" s="1"/>
  <c r="I14" i="1"/>
  <c r="C56" i="1" s="1"/>
  <c r="I13" i="1"/>
  <c r="C53" i="1" s="1"/>
  <c r="I12" i="1"/>
  <c r="C52" i="1" s="1"/>
  <c r="I11" i="1"/>
  <c r="C50" i="1" s="1"/>
  <c r="I10" i="1"/>
  <c r="C47" i="1" s="1"/>
  <c r="I9" i="1"/>
  <c r="C46" i="1" s="1"/>
  <c r="I8" i="1"/>
  <c r="C44" i="1" s="1"/>
  <c r="N12" i="1" l="1"/>
  <c r="N20" i="1"/>
  <c r="N13" i="1"/>
  <c r="C66" i="1"/>
  <c r="L40" i="1"/>
  <c r="K31" i="1"/>
  <c r="L36" i="1"/>
  <c r="N10" i="1"/>
  <c r="N18" i="1"/>
  <c r="L32" i="1"/>
  <c r="J34" i="1"/>
  <c r="J42" i="1"/>
  <c r="D63" i="1"/>
  <c r="L34" i="1"/>
  <c r="L42" i="1"/>
  <c r="K34" i="1"/>
  <c r="K42" i="1"/>
  <c r="N11" i="1"/>
  <c r="N19" i="1"/>
  <c r="C73" i="1"/>
  <c r="E53" i="1"/>
  <c r="F73" i="1"/>
  <c r="I42" i="1"/>
  <c r="D55" i="1"/>
  <c r="K32" i="1"/>
  <c r="K40" i="1"/>
  <c r="N21" i="1"/>
  <c r="C48" i="1"/>
  <c r="D44" i="1"/>
  <c r="D56" i="1"/>
  <c r="F65" i="1"/>
  <c r="J38" i="1"/>
  <c r="N14" i="1"/>
  <c r="N22" i="1"/>
  <c r="C49" i="1"/>
  <c r="D45" i="1"/>
  <c r="E56" i="1"/>
  <c r="K30" i="1"/>
  <c r="K38" i="1"/>
  <c r="N15" i="1"/>
  <c r="C57" i="1"/>
  <c r="F57" i="1"/>
  <c r="E69" i="1"/>
  <c r="L30" i="1"/>
  <c r="L38" i="1"/>
  <c r="D71" i="1"/>
  <c r="E50" i="1"/>
  <c r="J30" i="1"/>
  <c r="K36" i="1"/>
  <c r="N9" i="1"/>
  <c r="N17" i="1"/>
  <c r="E49" i="1"/>
  <c r="D59" i="1"/>
  <c r="D72" i="1"/>
  <c r="L31" i="1"/>
  <c r="L35" i="1"/>
  <c r="L41" i="1"/>
  <c r="E61" i="1"/>
  <c r="I28" i="1"/>
  <c r="I29" i="1"/>
  <c r="I35" i="1"/>
  <c r="I39" i="1"/>
  <c r="I41" i="1"/>
  <c r="C45" i="1"/>
  <c r="C54" i="1"/>
  <c r="C70" i="1"/>
  <c r="E52" i="1"/>
  <c r="E68" i="1"/>
  <c r="J29" i="1"/>
  <c r="J31" i="1"/>
  <c r="J33" i="1"/>
  <c r="J35" i="1"/>
  <c r="J37" i="1"/>
  <c r="J39" i="1"/>
  <c r="J41" i="1"/>
  <c r="J43" i="1"/>
  <c r="C55" i="1"/>
  <c r="C63" i="1"/>
  <c r="C71" i="1"/>
  <c r="E44" i="1"/>
  <c r="D47" i="1"/>
  <c r="F49" i="1"/>
  <c r="F52" i="1"/>
  <c r="E55" i="1"/>
  <c r="D58" i="1"/>
  <c r="F60" i="1"/>
  <c r="E63" i="1"/>
  <c r="D66" i="1"/>
  <c r="F68" i="1"/>
  <c r="E71" i="1"/>
  <c r="D74" i="1"/>
  <c r="L29" i="1"/>
  <c r="L39" i="1"/>
  <c r="I30" i="1"/>
  <c r="I31" i="1"/>
  <c r="I33" i="1"/>
  <c r="I37" i="1"/>
  <c r="I43" i="1"/>
  <c r="C62" i="1"/>
  <c r="F46" i="1"/>
  <c r="E60" i="1"/>
  <c r="K29" i="1"/>
  <c r="K33" i="1"/>
  <c r="K35" i="1"/>
  <c r="K37" i="1"/>
  <c r="K39" i="1"/>
  <c r="K41" i="1"/>
  <c r="K43" i="1"/>
  <c r="F44" i="1"/>
  <c r="E47" i="1"/>
  <c r="D50" i="1"/>
  <c r="D53" i="1"/>
  <c r="F55" i="1"/>
  <c r="E58" i="1"/>
  <c r="D61" i="1"/>
  <c r="F63" i="1"/>
  <c r="E66" i="1"/>
  <c r="D69" i="1"/>
  <c r="F71" i="1"/>
  <c r="E74" i="1"/>
  <c r="N23" i="1"/>
  <c r="L37" i="1"/>
  <c r="N16" i="1"/>
  <c r="I32" i="1"/>
  <c r="I36" i="1"/>
  <c r="I40" i="1"/>
  <c r="E45" i="1"/>
  <c r="D51" i="1"/>
  <c r="F53" i="1"/>
  <c r="F61" i="1"/>
  <c r="F69" i="1"/>
  <c r="J28" i="1"/>
  <c r="J32" i="1"/>
  <c r="J36" i="1"/>
  <c r="J40" i="1"/>
  <c r="C59" i="1"/>
  <c r="C67" i="1"/>
  <c r="E48" i="1"/>
  <c r="E51" i="1"/>
  <c r="F56" i="1"/>
  <c r="E59" i="1"/>
  <c r="F64" i="1"/>
  <c r="E67" i="1"/>
  <c r="F72" i="1"/>
  <c r="K28" i="1"/>
  <c r="C43" i="1"/>
  <c r="C51" i="1"/>
  <c r="F48" i="1"/>
  <c r="F51" i="1"/>
  <c r="F59" i="1"/>
  <c r="F67" i="1"/>
  <c r="C8" i="4"/>
  <c r="B10" i="2" s="1"/>
  <c r="L33" i="1"/>
  <c r="L43" i="1"/>
  <c r="N8" i="1"/>
  <c r="I34" i="1"/>
  <c r="I38" i="1"/>
  <c r="D67" i="1"/>
  <c r="L28" i="1"/>
  <c r="C7" i="4"/>
  <c r="F2" i="1" l="1"/>
  <c r="C13" i="4"/>
  <c r="E3" i="4"/>
  <c r="F3" i="1"/>
  <c r="F4" i="1"/>
  <c r="G8" i="2"/>
  <c r="G6" i="2"/>
  <c r="G9" i="2"/>
  <c r="G10" i="2"/>
  <c r="G7" i="2"/>
  <c r="G5" i="2"/>
  <c r="G11" i="2"/>
  <c r="B9" i="2"/>
  <c r="G3" i="4"/>
  <c r="C3" i="1" l="1"/>
  <c r="C2" i="1"/>
  <c r="E7" i="4"/>
  <c r="E8" i="4"/>
  <c r="M11" i="2"/>
  <c r="M10" i="2"/>
  <c r="L6" i="2"/>
  <c r="H9" i="2"/>
  <c r="I9" i="2" s="1"/>
  <c r="L8" i="2"/>
  <c r="H7" i="2"/>
  <c r="I7" i="2" s="1"/>
  <c r="L11" i="2"/>
  <c r="M7" i="2"/>
  <c r="L9" i="2"/>
  <c r="H11" i="2"/>
  <c r="I11" i="2" s="1"/>
  <c r="L7" i="2"/>
  <c r="H5" i="2"/>
  <c r="I5" i="2" s="1"/>
  <c r="L10" i="2"/>
  <c r="M6" i="2"/>
  <c r="M9" i="2"/>
  <c r="L5" i="2"/>
  <c r="H10" i="2"/>
  <c r="H8" i="2"/>
  <c r="I8" i="2" s="1"/>
  <c r="M5" i="2"/>
  <c r="H6" i="2"/>
  <c r="I6" i="2" s="1"/>
  <c r="M8" i="2"/>
  <c r="I10" i="2"/>
  <c r="G7" i="4"/>
  <c r="G8" i="4"/>
  <c r="N5" i="2" l="1"/>
  <c r="N10" i="2"/>
  <c r="N11" i="2"/>
  <c r="N6" i="2"/>
  <c r="N8" i="2"/>
  <c r="N7" i="2"/>
  <c r="G9" i="4"/>
  <c r="N9" i="2"/>
  <c r="E9" i="4"/>
  <c r="G11" i="4" l="1"/>
  <c r="G4" i="4" s="1"/>
  <c r="G10" i="4"/>
  <c r="G5" i="4" s="1"/>
  <c r="E11" i="4"/>
  <c r="E5" i="4" s="1"/>
  <c r="E10" i="4"/>
  <c r="E4" i="4" s="1"/>
</calcChain>
</file>

<file path=xl/sharedStrings.xml><?xml version="1.0" encoding="utf-8"?>
<sst xmlns="http://schemas.openxmlformats.org/spreadsheetml/2006/main" count="75" uniqueCount="35">
  <si>
    <t>CC</t>
  </si>
  <si>
    <t>PK</t>
  </si>
  <si>
    <t>JA</t>
  </si>
  <si>
    <t>LM</t>
  </si>
  <si>
    <t>Subject</t>
  </si>
  <si>
    <t>Patient</t>
  </si>
  <si>
    <t xml:space="preserve">  MSS = </t>
  </si>
  <si>
    <t xml:space="preserve">   MSI = </t>
  </si>
  <si>
    <t xml:space="preserve">   MSE = </t>
  </si>
  <si>
    <t xml:space="preserve">  ICC = </t>
  </si>
  <si>
    <t xml:space="preserve">  ICCa = </t>
  </si>
  <si>
    <t>Judge 1</t>
  </si>
  <si>
    <t>Judge 2</t>
  </si>
  <si>
    <t>Judge 3</t>
  </si>
  <si>
    <t>Judge 4</t>
  </si>
  <si>
    <t xml:space="preserve">MSS = </t>
  </si>
  <si>
    <t xml:space="preserve">MSI = </t>
  </si>
  <si>
    <t xml:space="preserve">MSE = </t>
  </si>
  <si>
    <t>INTER-RATER RELIABILITY</t>
  </si>
  <si>
    <t>INTRA-RATER RELIABILITY</t>
  </si>
  <si>
    <t xml:space="preserve">ICC(3,1) = </t>
  </si>
  <si>
    <t xml:space="preserve">ICCa(3,1) = </t>
  </si>
  <si>
    <t>Conf Lev=</t>
  </si>
  <si>
    <t xml:space="preserve">F1 = </t>
  </si>
  <si>
    <t>F2 =</t>
  </si>
  <si>
    <t xml:space="preserve">a = </t>
  </si>
  <si>
    <t xml:space="preserve">b = </t>
  </si>
  <si>
    <t>v =</t>
  </si>
  <si>
    <t xml:space="preserve">LCB = </t>
  </si>
  <si>
    <t xml:space="preserve">UCB = </t>
  </si>
  <si>
    <t>Inter-Rater Reliability</t>
  </si>
  <si>
    <t>Intra-Rater Reliability</t>
  </si>
  <si>
    <t>MSR =</t>
  </si>
  <si>
    <t>Crit Val.</t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</si>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</sst>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"/>
    <numFmt numFmtId="165" formatCode="0.0000"/>
    <numFmt numFmtId="166" formatCode="0.000"/>
    <numFmt numFmtId="167" formatCode="_(* #,##0.0000_);_(* \(#,##0.0000\);_(* &quot;-&quot;??_);_(@_)"/>
    <numFmt numFmtId="168" formatCode="0.000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1" fillId="0" borderId="0" xfId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7" borderId="13" xfId="0" applyFill="1" applyBorder="1"/>
    <xf numFmtId="0" fontId="0" fillId="7" borderId="14" xfId="0" applyFill="1" applyBorder="1"/>
    <xf numFmtId="0" fontId="0" fillId="7" borderId="13" xfId="0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3" xfId="0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/>
    <xf numFmtId="165" fontId="0" fillId="2" borderId="14" xfId="0" applyNumberFormat="1" applyFill="1" applyBorder="1" applyAlignment="1">
      <alignment horizontal="center"/>
    </xf>
    <xf numFmtId="165" fontId="0" fillId="7" borderId="14" xfId="0" applyNumberFormat="1" applyFill="1" applyBorder="1"/>
    <xf numFmtId="165" fontId="0" fillId="5" borderId="14" xfId="0" applyNumberFormat="1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0" fontId="2" fillId="6" borderId="24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4" xfId="0" applyBorder="1"/>
    <xf numFmtId="0" fontId="2" fillId="0" borderId="0" xfId="0" applyFont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 applyAlignment="1">
      <alignment horizontal="center"/>
    </xf>
    <xf numFmtId="0" fontId="0" fillId="0" borderId="32" xfId="0" applyBorder="1"/>
    <xf numFmtId="0" fontId="2" fillId="6" borderId="3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0" fillId="0" borderId="28" xfId="0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3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4" fillId="8" borderId="17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Fill="1" applyBorder="1"/>
    <xf numFmtId="43" fontId="7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>
      <alignment vertical="center"/>
    </xf>
    <xf numFmtId="165" fontId="7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/>
    <xf numFmtId="43" fontId="7" fillId="0" borderId="0" xfId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horizontal="right" vertical="center" indent="1"/>
    </xf>
    <xf numFmtId="0" fontId="8" fillId="4" borderId="24" xfId="0" applyFont="1" applyFill="1" applyBorder="1"/>
    <xf numFmtId="167" fontId="8" fillId="4" borderId="24" xfId="0" applyNumberFormat="1" applyFont="1" applyFill="1" applyBorder="1"/>
    <xf numFmtId="0" fontId="7" fillId="0" borderId="24" xfId="0" applyFont="1" applyBorder="1" applyAlignment="1">
      <alignment vertical="center"/>
    </xf>
    <xf numFmtId="0" fontId="7" fillId="2" borderId="24" xfId="0" applyFont="1" applyFill="1" applyBorder="1"/>
    <xf numFmtId="166" fontId="7" fillId="0" borderId="24" xfId="0" applyNumberFormat="1" applyFont="1" applyBorder="1"/>
    <xf numFmtId="43" fontId="7" fillId="0" borderId="24" xfId="1" applyFont="1" applyBorder="1" applyAlignment="1">
      <alignment vertical="center"/>
    </xf>
    <xf numFmtId="166" fontId="7" fillId="0" borderId="24" xfId="0" applyNumberFormat="1" applyFont="1" applyBorder="1" applyAlignment="1">
      <alignment vertical="center"/>
    </xf>
    <xf numFmtId="0" fontId="0" fillId="0" borderId="0" xfId="0" applyFill="1"/>
    <xf numFmtId="0" fontId="8" fillId="9" borderId="24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center"/>
    </xf>
    <xf numFmtId="0" fontId="7" fillId="9" borderId="24" xfId="0" applyFont="1" applyFill="1" applyBorder="1"/>
    <xf numFmtId="0" fontId="8" fillId="9" borderId="23" xfId="0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8" fillId="9" borderId="24" xfId="0" applyFont="1" applyFill="1" applyBorder="1"/>
    <xf numFmtId="0" fontId="0" fillId="9" borderId="4" xfId="0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right"/>
    </xf>
    <xf numFmtId="164" fontId="7" fillId="9" borderId="24" xfId="0" applyNumberFormat="1" applyFont="1" applyFill="1" applyBorder="1" applyAlignment="1">
      <alignment horizontal="right"/>
    </xf>
    <xf numFmtId="165" fontId="7" fillId="9" borderId="24" xfId="0" applyNumberFormat="1" applyFont="1" applyFill="1" applyBorder="1" applyAlignment="1">
      <alignment horizontal="right" vertical="center"/>
    </xf>
    <xf numFmtId="0" fontId="7" fillId="9" borderId="24" xfId="0" applyFont="1" applyFill="1" applyBorder="1" applyAlignment="1">
      <alignment vertical="center"/>
    </xf>
    <xf numFmtId="43" fontId="7" fillId="9" borderId="24" xfId="1" applyFont="1" applyFill="1" applyBorder="1"/>
    <xf numFmtId="0" fontId="0" fillId="0" borderId="24" xfId="0" applyFill="1" applyBorder="1"/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0" fillId="0" borderId="2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9.png"/><Relationship Id="rId7" Type="http://schemas.openxmlformats.org/officeDocument/2006/relationships/image" Target="../media/image15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1.png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5</xdr:row>
      <xdr:rowOff>23812</xdr:rowOff>
    </xdr:from>
    <xdr:ext cx="593368" cy="269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110C6FE-23B7-4D91-9C7D-5D7FB0574760}"/>
                </a:ext>
              </a:extLst>
            </xdr:cNvPr>
            <xdr:cNvSpPr txBox="1"/>
          </xdr:nvSpPr>
          <xdr:spPr>
            <a:xfrm>
              <a:off x="1981200" y="1090612"/>
              <a:ext cx="593368" cy="269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𝒚</m:t>
                        </m:r>
                      </m:e>
                      <m:sub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𝒊𝒋𝒌</m:t>
                        </m:r>
                      </m:sub>
                    </m:sSub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110C6FE-23B7-4D91-9C7D-5D7FB0574760}"/>
                </a:ext>
              </a:extLst>
            </xdr:cNvPr>
            <xdr:cNvSpPr txBox="1"/>
          </xdr:nvSpPr>
          <xdr:spPr>
            <a:xfrm>
              <a:off x="1981200" y="1090612"/>
              <a:ext cx="593368" cy="269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𝒚_𝒊𝒋𝒌=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10</xdr:col>
      <xdr:colOff>76200</xdr:colOff>
      <xdr:row>5</xdr:row>
      <xdr:rowOff>42862</xdr:rowOff>
    </xdr:from>
    <xdr:ext cx="543995" cy="269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E2B7DF04-8A0F-4AA3-B181-A1BAD6489408}"/>
                </a:ext>
              </a:extLst>
            </xdr:cNvPr>
            <xdr:cNvSpPr txBox="1"/>
          </xdr:nvSpPr>
          <xdr:spPr>
            <a:xfrm>
              <a:off x="7124700" y="814387"/>
              <a:ext cx="543995" cy="269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n-US" sz="1600" b="1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600" b="1" i="1">
                                <a:latin typeface="Cambria Math" panose="02040503050406030204" pitchFamily="18" charset="0"/>
                              </a:rPr>
                              <m:t>𝒚</m:t>
                            </m:r>
                          </m:e>
                        </m:acc>
                      </m:e>
                      <m:sub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𝒊𝒋</m:t>
                        </m:r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⋅</m:t>
                        </m:r>
                      </m:sub>
                    </m:sSub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E2B7DF04-8A0F-4AA3-B181-A1BAD6489408}"/>
                </a:ext>
              </a:extLst>
            </xdr:cNvPr>
            <xdr:cNvSpPr txBox="1"/>
          </xdr:nvSpPr>
          <xdr:spPr>
            <a:xfrm>
              <a:off x="7124700" y="814387"/>
              <a:ext cx="543995" cy="269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𝒚 ̅_(𝒊𝒋⋅)=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12</xdr:col>
      <xdr:colOff>228600</xdr:colOff>
      <xdr:row>6</xdr:row>
      <xdr:rowOff>71437</xdr:rowOff>
    </xdr:from>
    <xdr:ext cx="527965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B2045FA-ED64-4212-97A5-D86A029FEF76}"/>
                </a:ext>
              </a:extLst>
            </xdr:cNvPr>
            <xdr:cNvSpPr txBox="1"/>
          </xdr:nvSpPr>
          <xdr:spPr>
            <a:xfrm>
              <a:off x="8763000" y="1166812"/>
              <a:ext cx="52796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n-US" sz="1600" b="1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600" b="1" i="1">
                                <a:latin typeface="Cambria Math" panose="02040503050406030204" pitchFamily="18" charset="0"/>
                              </a:rPr>
                              <m:t>𝒚</m:t>
                            </m:r>
                          </m:e>
                        </m:acc>
                      </m:e>
                      <m:sub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𝒊</m:t>
                        </m:r>
                        <m:r>
                          <a:rPr lang="en-US" sz="1600" b="1" i="1">
                            <a:latin typeface="Cambria Math" panose="02040503050406030204" pitchFamily="18" charset="0"/>
                          </a:rPr>
                          <m:t>⋅⋅</m:t>
                        </m:r>
                      </m:sub>
                    </m:sSub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B2045FA-ED64-4212-97A5-D86A029FEF76}"/>
                </a:ext>
              </a:extLst>
            </xdr:cNvPr>
            <xdr:cNvSpPr txBox="1"/>
          </xdr:nvSpPr>
          <xdr:spPr>
            <a:xfrm>
              <a:off x="8763000" y="1166812"/>
              <a:ext cx="52796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𝒚 ̅_(𝒊⋅⋅)=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8</xdr:col>
      <xdr:colOff>47625</xdr:colOff>
      <xdr:row>0</xdr:row>
      <xdr:rowOff>223837</xdr:rowOff>
    </xdr:from>
    <xdr:ext cx="389402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5E4B9FD-FED2-45D9-A2AF-B3BC5F5D7CEF}"/>
                </a:ext>
              </a:extLst>
            </xdr:cNvPr>
            <xdr:cNvSpPr txBox="1"/>
          </xdr:nvSpPr>
          <xdr:spPr>
            <a:xfrm>
              <a:off x="5543550" y="223837"/>
              <a:ext cx="389402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1" i="1">
                        <a:latin typeface="Cambria Math" panose="02040503050406030204" pitchFamily="18" charset="0"/>
                      </a:rPr>
                      <m:t>𝒏</m:t>
                    </m:r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5E4B9FD-FED2-45D9-A2AF-B3BC5F5D7CEF}"/>
                </a:ext>
              </a:extLst>
            </xdr:cNvPr>
            <xdr:cNvSpPr txBox="1"/>
          </xdr:nvSpPr>
          <xdr:spPr>
            <a:xfrm>
              <a:off x="5543550" y="223837"/>
              <a:ext cx="389402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𝒏=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9</xdr:col>
      <xdr:colOff>57150</xdr:colOff>
      <xdr:row>0</xdr:row>
      <xdr:rowOff>223837</xdr:rowOff>
    </xdr:from>
    <xdr:ext cx="366767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B824AE80-19DD-457F-88E5-D734B4DF74B5}"/>
                </a:ext>
              </a:extLst>
            </xdr:cNvPr>
            <xdr:cNvSpPr txBox="1"/>
          </xdr:nvSpPr>
          <xdr:spPr>
            <a:xfrm>
              <a:off x="6181725" y="223837"/>
              <a:ext cx="366767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1" i="1">
                        <a:latin typeface="Cambria Math" panose="02040503050406030204" pitchFamily="18" charset="0"/>
                      </a:rPr>
                      <m:t>𝒓</m:t>
                    </m:r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B824AE80-19DD-457F-88E5-D734B4DF74B5}"/>
                </a:ext>
              </a:extLst>
            </xdr:cNvPr>
            <xdr:cNvSpPr txBox="1"/>
          </xdr:nvSpPr>
          <xdr:spPr>
            <a:xfrm>
              <a:off x="6181725" y="223837"/>
              <a:ext cx="366767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𝒓=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10</xdr:col>
      <xdr:colOff>47625</xdr:colOff>
      <xdr:row>0</xdr:row>
      <xdr:rowOff>228600</xdr:rowOff>
    </xdr:from>
    <xdr:ext cx="446917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DE27EBA1-3C72-4506-9B20-451A69FD2DF2}"/>
                </a:ext>
              </a:extLst>
            </xdr:cNvPr>
            <xdr:cNvSpPr txBox="1"/>
          </xdr:nvSpPr>
          <xdr:spPr>
            <a:xfrm>
              <a:off x="7019925" y="228600"/>
              <a:ext cx="446917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1" i="1">
                        <a:latin typeface="Cambria Math" panose="02040503050406030204" pitchFamily="18" charset="0"/>
                      </a:rPr>
                      <m:t>𝒎</m:t>
                    </m:r>
                    <m:r>
                      <a:rPr lang="en-US" sz="16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600" b="1"/>
            </a:p>
          </xdr:txBody>
        </xdr:sp>
      </mc:Choice>
      <mc:Fallback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DE27EBA1-3C72-4506-9B20-451A69FD2DF2}"/>
                </a:ext>
              </a:extLst>
            </xdr:cNvPr>
            <xdr:cNvSpPr txBox="1"/>
          </xdr:nvSpPr>
          <xdr:spPr>
            <a:xfrm>
              <a:off x="7019925" y="228600"/>
              <a:ext cx="446917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</a:rPr>
                <a:t>𝒎=</a:t>
              </a:r>
              <a:endParaRPr lang="en-US" sz="1600" b="1"/>
            </a:p>
          </xdr:txBody>
        </xdr:sp>
      </mc:Fallback>
    </mc:AlternateContent>
    <xdr:clientData/>
  </xdr:oneCellAnchor>
  <xdr:oneCellAnchor>
    <xdr:from>
      <xdr:col>8</xdr:col>
      <xdr:colOff>323850</xdr:colOff>
      <xdr:row>6</xdr:row>
      <xdr:rowOff>176212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2747D4A-4E4E-4C3E-BEB1-7E7B34A4B190}"/>
            </a:ext>
          </a:extLst>
        </xdr:cNvPr>
        <xdr:cNvSpPr txBox="1"/>
      </xdr:nvSpPr>
      <xdr:spPr>
        <a:xfrm>
          <a:off x="5819775" y="154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28575</xdr:colOff>
      <xdr:row>5</xdr:row>
      <xdr:rowOff>271462</xdr:rowOff>
    </xdr:from>
    <xdr:ext cx="1018036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30ED5738-03F3-47FC-A796-A6B34E39681A}"/>
                </a:ext>
              </a:extLst>
            </xdr:cNvPr>
            <xdr:cNvSpPr txBox="1"/>
          </xdr:nvSpPr>
          <xdr:spPr>
            <a:xfrm>
              <a:off x="9429750" y="1319212"/>
              <a:ext cx="1018036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𝒊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⋅⋅</m:t>
                                </m:r>
                              </m:sub>
                            </m:sSub>
                            <m:r>
                              <a:rPr lang="en-US" sz="14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𝒚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30ED5738-03F3-47FC-A796-A6B34E39681A}"/>
                </a:ext>
              </a:extLst>
            </xdr:cNvPr>
            <xdr:cNvSpPr txBox="1"/>
          </xdr:nvSpPr>
          <xdr:spPr>
            <a:xfrm>
              <a:off x="9429750" y="1319212"/>
              <a:ext cx="1018036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(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𝒚 ̅_(𝒊⋅⋅)−𝒚 ̅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en-US" sz="1400" b="1" i="0">
                  <a:latin typeface="Cambria Math" panose="02040503050406030204" pitchFamily="18" charset="0"/>
                </a:rPr>
                <a:t>𝟐=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8</xdr:col>
      <xdr:colOff>371475</xdr:colOff>
      <xdr:row>25</xdr:row>
      <xdr:rowOff>0</xdr:rowOff>
    </xdr:from>
    <xdr:ext cx="1949187" cy="29924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CB150E9C-0B6B-4B20-85DB-75E569876438}"/>
                </a:ext>
              </a:extLst>
            </xdr:cNvPr>
            <xdr:cNvSpPr txBox="1"/>
          </xdr:nvSpPr>
          <xdr:spPr>
            <a:xfrm>
              <a:off x="5867400" y="5372100"/>
              <a:ext cx="1949187" cy="29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𝒊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𝒋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⋅</m:t>
                                </m:r>
                              </m:sub>
                            </m:sSub>
                            <m:r>
                              <a:rPr lang="en-US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𝒊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⋅⋅</m:t>
                                </m:r>
                              </m:sub>
                            </m:sSub>
                            <m:r>
                              <a:rPr lang="en-US" sz="14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⋅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𝒋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⋅</m:t>
                                </m:r>
                              </m:sub>
                            </m:sSub>
                            <m:r>
                              <a:rPr lang="en-US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acc>
                              <m:accPr>
                                <m:chr m:val="̅"/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𝒚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CB150E9C-0B6B-4B20-85DB-75E569876438}"/>
                </a:ext>
              </a:extLst>
            </xdr:cNvPr>
            <xdr:cNvSpPr txBox="1"/>
          </xdr:nvSpPr>
          <xdr:spPr>
            <a:xfrm>
              <a:off x="5867400" y="5372100"/>
              <a:ext cx="1949187" cy="29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(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𝒚 ̅_(𝒊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𝒋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⋅)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𝒚 ̅_(𝒊⋅⋅)−𝒚 ̅_(⋅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𝒋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⋅)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𝒚 ̅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en-US" sz="1400" b="1" i="0">
                  <a:latin typeface="Cambria Math" panose="02040503050406030204" pitchFamily="18" charset="0"/>
                </a:rPr>
                <a:t>𝟐=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3</xdr:col>
      <xdr:colOff>0</xdr:colOff>
      <xdr:row>40</xdr:row>
      <xdr:rowOff>0</xdr:rowOff>
    </xdr:from>
    <xdr:ext cx="1231619" cy="29924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187BBC4D-DB0E-458C-A75D-157B948B0D5E}"/>
                </a:ext>
              </a:extLst>
            </xdr:cNvPr>
            <xdr:cNvSpPr txBox="1"/>
          </xdr:nvSpPr>
          <xdr:spPr>
            <a:xfrm>
              <a:off x="1924050" y="8505825"/>
              <a:ext cx="1231619" cy="29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𝒊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𝒋𝒌</m:t>
                                </m:r>
                              </m:sub>
                            </m:sSub>
                            <m:r>
                              <a:rPr lang="en-US" sz="14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400" b="1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𝒊𝒋</m:t>
                                </m:r>
                                <m:r>
                                  <a:rPr lang="en-US" sz="14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⋅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187BBC4D-DB0E-458C-A75D-157B948B0D5E}"/>
                </a:ext>
              </a:extLst>
            </xdr:cNvPr>
            <xdr:cNvSpPr txBox="1"/>
          </xdr:nvSpPr>
          <xdr:spPr>
            <a:xfrm>
              <a:off x="1924050" y="8505825"/>
              <a:ext cx="1231619" cy="29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(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𝒚 ̅_𝒊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𝒋𝒌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𝒚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 ̅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_(𝒊𝒋⋅) )^</a:t>
              </a:r>
              <a:r>
                <a:rPr lang="en-US" sz="1400" b="1" i="0">
                  <a:latin typeface="Cambria Math" panose="02040503050406030204" pitchFamily="18" charset="0"/>
                </a:rPr>
                <a:t>𝟐=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12</xdr:col>
      <xdr:colOff>85725</xdr:colOff>
      <xdr:row>23</xdr:row>
      <xdr:rowOff>23812</xdr:rowOff>
    </xdr:from>
    <xdr:ext cx="331886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2694AE9A-ACCC-4C29-8D6F-3BD19CD6E5F2}"/>
                </a:ext>
              </a:extLst>
            </xdr:cNvPr>
            <xdr:cNvSpPr txBox="1"/>
          </xdr:nvSpPr>
          <xdr:spPr>
            <a:xfrm>
              <a:off x="8543925" y="4995862"/>
              <a:ext cx="33188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𝒚</m:t>
                        </m:r>
                      </m:e>
                    </m:acc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2694AE9A-ACCC-4C29-8D6F-3BD19CD6E5F2}"/>
                </a:ext>
              </a:extLst>
            </xdr:cNvPr>
            <xdr:cNvSpPr txBox="1"/>
          </xdr:nvSpPr>
          <xdr:spPr>
            <a:xfrm>
              <a:off x="8543925" y="4995862"/>
              <a:ext cx="33188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𝒚 ̅=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7</xdr:col>
      <xdr:colOff>133350</xdr:colOff>
      <xdr:row>23</xdr:row>
      <xdr:rowOff>14287</xdr:rowOff>
    </xdr:from>
    <xdr:ext cx="464294" cy="2361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C8DDE1C5-533E-40CE-939B-EB5BCC844A2C}"/>
                </a:ext>
              </a:extLst>
            </xdr:cNvPr>
            <xdr:cNvSpPr txBox="1"/>
          </xdr:nvSpPr>
          <xdr:spPr>
            <a:xfrm>
              <a:off x="5019675" y="4986337"/>
              <a:ext cx="464294" cy="236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n-US" sz="1400" b="1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400" b="1" i="1">
                                <a:latin typeface="Cambria Math" panose="02040503050406030204" pitchFamily="18" charset="0"/>
                              </a:rPr>
                              <m:t>𝒚</m:t>
                            </m:r>
                          </m:e>
                        </m:acc>
                      </m:e>
                      <m:sub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𝒋</m:t>
                        </m:r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⋅</m:t>
                        </m:r>
                      </m:sub>
                    </m:sSub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C8DDE1C5-533E-40CE-939B-EB5BCC844A2C}"/>
                </a:ext>
              </a:extLst>
            </xdr:cNvPr>
            <xdr:cNvSpPr txBox="1"/>
          </xdr:nvSpPr>
          <xdr:spPr>
            <a:xfrm>
              <a:off x="5019675" y="4986337"/>
              <a:ext cx="464294" cy="236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𝒚 ̅_(⋅𝒋⋅)=</a:t>
              </a:r>
              <a:endParaRPr lang="en-US" sz="14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209552</xdr:colOff>
      <xdr:row>12</xdr:row>
      <xdr:rowOff>9525</xdr:rowOff>
    </xdr:from>
    <xdr:to>
      <xdr:col>18</xdr:col>
      <xdr:colOff>566513</xdr:colOff>
      <xdr:row>12</xdr:row>
      <xdr:rowOff>269431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7" y="2733675"/>
          <a:ext cx="1576161" cy="259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152400</xdr:colOff>
      <xdr:row>1</xdr:row>
      <xdr:rowOff>114300</xdr:rowOff>
    </xdr:from>
    <xdr:to>
      <xdr:col>17</xdr:col>
      <xdr:colOff>485775</xdr:colOff>
      <xdr:row>1</xdr:row>
      <xdr:rowOff>352425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495300"/>
          <a:ext cx="3333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38100</xdr:colOff>
      <xdr:row>1</xdr:row>
      <xdr:rowOff>85725</xdr:rowOff>
    </xdr:from>
    <xdr:to>
      <xdr:col>11</xdr:col>
      <xdr:colOff>371475</xdr:colOff>
      <xdr:row>1</xdr:row>
      <xdr:rowOff>304800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66725"/>
          <a:ext cx="3333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171450</xdr:colOff>
      <xdr:row>19</xdr:row>
      <xdr:rowOff>38100</xdr:rowOff>
    </xdr:from>
    <xdr:to>
      <xdr:col>12</xdr:col>
      <xdr:colOff>123825</xdr:colOff>
      <xdr:row>19</xdr:row>
      <xdr:rowOff>352425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3924300"/>
          <a:ext cx="11715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28579</xdr:colOff>
      <xdr:row>2</xdr:row>
      <xdr:rowOff>57150</xdr:rowOff>
    </xdr:from>
    <xdr:to>
      <xdr:col>21</xdr:col>
      <xdr:colOff>760259</xdr:colOff>
      <xdr:row>2</xdr:row>
      <xdr:rowOff>308672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4" y="800100"/>
          <a:ext cx="731680" cy="25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152400</xdr:colOff>
      <xdr:row>2</xdr:row>
      <xdr:rowOff>66675</xdr:rowOff>
    </xdr:from>
    <xdr:to>
      <xdr:col>20</xdr:col>
      <xdr:colOff>485775</xdr:colOff>
      <xdr:row>2</xdr:row>
      <xdr:rowOff>266700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809625"/>
          <a:ext cx="3333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2</xdr:row>
      <xdr:rowOff>9525</xdr:rowOff>
    </xdr:from>
    <xdr:to>
      <xdr:col>1</xdr:col>
      <xdr:colOff>447675</xdr:colOff>
      <xdr:row>3</xdr:row>
      <xdr:rowOff>38100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200025"/>
          <a:ext cx="247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3</xdr:row>
      <xdr:rowOff>9525</xdr:rowOff>
    </xdr:from>
    <xdr:to>
      <xdr:col>1</xdr:col>
      <xdr:colOff>466725</xdr:colOff>
      <xdr:row>4</xdr:row>
      <xdr:rowOff>38100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390525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</xdr:row>
      <xdr:rowOff>180975</xdr:rowOff>
    </xdr:from>
    <xdr:to>
      <xdr:col>1</xdr:col>
      <xdr:colOff>495300</xdr:colOff>
      <xdr:row>5</xdr:row>
      <xdr:rowOff>19050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752475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9</xdr:row>
      <xdr:rowOff>180975</xdr:rowOff>
    </xdr:from>
    <xdr:to>
      <xdr:col>1</xdr:col>
      <xdr:colOff>552450</xdr:colOff>
      <xdr:row>11</xdr:row>
      <xdr:rowOff>19050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704975"/>
          <a:ext cx="2762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5</xdr:row>
      <xdr:rowOff>0</xdr:rowOff>
    </xdr:from>
    <xdr:to>
      <xdr:col>1</xdr:col>
      <xdr:colOff>476250</xdr:colOff>
      <xdr:row>6</xdr:row>
      <xdr:rowOff>28575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952500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219075</xdr:colOff>
      <xdr:row>7</xdr:row>
      <xdr:rowOff>161925</xdr:rowOff>
    </xdr:from>
    <xdr:ext cx="295275" cy="2666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2285A4EB-2042-492E-BAA2-55996807E00F}"/>
                </a:ext>
              </a:extLst>
            </xdr:cNvPr>
            <xdr:cNvSpPr txBox="1"/>
          </xdr:nvSpPr>
          <xdr:spPr>
            <a:xfrm>
              <a:off x="8629650" y="1895475"/>
              <a:ext cx="295275" cy="266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n-US" sz="1200" b="1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200" b="1" i="1">
                                <a:latin typeface="Cambria Math" panose="02040503050406030204" pitchFamily="18" charset="0"/>
                              </a:rPr>
                              <m:t>𝒚</m:t>
                            </m:r>
                          </m:e>
                        </m:acc>
                      </m:e>
                      <m:sub>
                        <m:r>
                          <a:rPr lang="en-US" sz="1200" b="1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200" b="1" i="1">
                            <a:latin typeface="Cambria Math" panose="02040503050406030204" pitchFamily="18" charset="0"/>
                          </a:rPr>
                          <m:t>𝒋</m:t>
                        </m:r>
                        <m:r>
                          <a:rPr lang="en-US" sz="1200" b="1" i="1">
                            <a:latin typeface="Cambria Math" panose="02040503050406030204" pitchFamily="18" charset="0"/>
                          </a:rPr>
                          <m:t>.</m:t>
                        </m:r>
                      </m:sub>
                    </m:sSub>
                    <m:r>
                      <a:rPr lang="en-US" sz="12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200" b="1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2285A4EB-2042-492E-BAA2-55996807E00F}"/>
                </a:ext>
              </a:extLst>
            </xdr:cNvPr>
            <xdr:cNvSpPr txBox="1"/>
          </xdr:nvSpPr>
          <xdr:spPr>
            <a:xfrm>
              <a:off x="8629650" y="1895475"/>
              <a:ext cx="295275" cy="266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 b="1" i="0">
                  <a:latin typeface="Cambria Math" panose="02040503050406030204" pitchFamily="18" charset="0"/>
                </a:rPr>
                <a:t>𝒚 ̅_(.𝒋.)  </a:t>
              </a:r>
              <a:endParaRPr lang="en-US" sz="1200" b="1"/>
            </a:p>
          </xdr:txBody>
        </xdr:sp>
      </mc:Fallback>
    </mc:AlternateContent>
    <xdr:clientData/>
  </xdr:oneCellAnchor>
  <xdr:oneCellAnchor>
    <xdr:from>
      <xdr:col>14</xdr:col>
      <xdr:colOff>190500</xdr:colOff>
      <xdr:row>10</xdr:row>
      <xdr:rowOff>157162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E3CA3FD-8F1E-42AC-88FE-E579F94A43D1}"/>
            </a:ext>
          </a:extLst>
        </xdr:cNvPr>
        <xdr:cNvSpPr txBox="1"/>
      </xdr:nvSpPr>
      <xdr:spPr>
        <a:xfrm>
          <a:off x="7991475" y="246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16</xdr:col>
      <xdr:colOff>419100</xdr:colOff>
      <xdr:row>10</xdr:row>
      <xdr:rowOff>85725</xdr:rowOff>
    </xdr:from>
    <xdr:to>
      <xdr:col>17</xdr:col>
      <xdr:colOff>371476</xdr:colOff>
      <xdr:row>11</xdr:row>
      <xdr:rowOff>95250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0F746E3-5E75-4E73-99C3-C7393B63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2476500"/>
          <a:ext cx="561976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20</xdr:col>
      <xdr:colOff>19050</xdr:colOff>
      <xdr:row>7</xdr:row>
      <xdr:rowOff>176212</xdr:rowOff>
    </xdr:from>
    <xdr:ext cx="331886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23D3A25-7282-4FFC-99A6-1DD5F89D0125}"/>
                </a:ext>
              </a:extLst>
            </xdr:cNvPr>
            <xdr:cNvSpPr txBox="1"/>
          </xdr:nvSpPr>
          <xdr:spPr>
            <a:xfrm>
              <a:off x="11477625" y="1995487"/>
              <a:ext cx="33188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𝒚</m:t>
                        </m:r>
                      </m:e>
                    </m:acc>
                    <m:r>
                      <a:rPr lang="en-US" sz="14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23D3A25-7282-4FFC-99A6-1DD5F89D0125}"/>
                </a:ext>
              </a:extLst>
            </xdr:cNvPr>
            <xdr:cNvSpPr txBox="1"/>
          </xdr:nvSpPr>
          <xdr:spPr>
            <a:xfrm>
              <a:off x="11477625" y="1995487"/>
              <a:ext cx="33188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𝒚 ̅=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14</xdr:col>
      <xdr:colOff>600075</xdr:colOff>
      <xdr:row>9</xdr:row>
      <xdr:rowOff>23812</xdr:rowOff>
    </xdr:from>
    <xdr:ext cx="885114" cy="25654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637CF80-57A6-4B88-AB4E-CE6948A02C11}"/>
                </a:ext>
              </a:extLst>
            </xdr:cNvPr>
            <xdr:cNvSpPr txBox="1"/>
          </xdr:nvSpPr>
          <xdr:spPr>
            <a:xfrm>
              <a:off x="8401050" y="2224087"/>
              <a:ext cx="885114" cy="2565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2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200" b="1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200" b="1" i="1">
                                        <a:latin typeface="Cambria Math" panose="02040503050406030204" pitchFamily="18" charset="0"/>
                                      </a:rPr>
                                      <m:t>𝒚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  <m:t>⋅</m:t>
                                </m:r>
                                <m: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  <m:t>𝒋</m:t>
                                </m:r>
                                <m: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  <m:t>⋅</m:t>
                                </m:r>
                              </m:sub>
                            </m:sSub>
                            <m:r>
                              <a:rPr lang="en-US" sz="1200" b="1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n-US" sz="1200" b="1" i="1">
                                    <a:latin typeface="Cambria Math" panose="02040503050406030204" pitchFamily="18" charset="0"/>
                                  </a:rPr>
                                  <m:t>𝒚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n-US" sz="12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  <m:r>
                      <a:rPr lang="en-US" sz="1200" b="1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200" b="1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637CF80-57A6-4B88-AB4E-CE6948A02C11}"/>
                </a:ext>
              </a:extLst>
            </xdr:cNvPr>
            <xdr:cNvSpPr txBox="1"/>
          </xdr:nvSpPr>
          <xdr:spPr>
            <a:xfrm>
              <a:off x="8401050" y="2224087"/>
              <a:ext cx="885114" cy="2565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1" i="0">
                  <a:latin typeface="Cambria Math" panose="02040503050406030204" pitchFamily="18" charset="0"/>
                </a:rPr>
                <a:t>(𝒚 ̅_(⋅𝒋⋅)−𝒚 ̅ )^𝟐=</a:t>
              </a:r>
              <a:endParaRPr lang="en-US" sz="1200" b="1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9525</xdr:rowOff>
    </xdr:from>
    <xdr:to>
      <xdr:col>0</xdr:col>
      <xdr:colOff>447675</xdr:colOff>
      <xdr:row>5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390525"/>
          <a:ext cx="247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5</xdr:row>
      <xdr:rowOff>9525</xdr:rowOff>
    </xdr:from>
    <xdr:to>
      <xdr:col>0</xdr:col>
      <xdr:colOff>466725</xdr:colOff>
      <xdr:row>6</xdr:row>
      <xdr:rowOff>38100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581025"/>
          <a:ext cx="2667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5</xdr:row>
      <xdr:rowOff>180975</xdr:rowOff>
    </xdr:from>
    <xdr:to>
      <xdr:col>0</xdr:col>
      <xdr:colOff>495300</xdr:colOff>
      <xdr:row>7</xdr:row>
      <xdr:rowOff>19050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752475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7</xdr:row>
      <xdr:rowOff>0</xdr:rowOff>
    </xdr:from>
    <xdr:to>
      <xdr:col>0</xdr:col>
      <xdr:colOff>476250</xdr:colOff>
      <xdr:row>8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952500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</xdr:colOff>
      <xdr:row>3</xdr:row>
      <xdr:rowOff>47625</xdr:rowOff>
    </xdr:from>
    <xdr:to>
      <xdr:col>4</xdr:col>
      <xdr:colOff>428625</xdr:colOff>
      <xdr:row>3</xdr:row>
      <xdr:rowOff>228600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19125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190500</xdr:colOff>
      <xdr:row>3</xdr:row>
      <xdr:rowOff>28575</xdr:rowOff>
    </xdr:from>
    <xdr:to>
      <xdr:col>5</xdr:col>
      <xdr:colOff>409575</xdr:colOff>
      <xdr:row>3</xdr:row>
      <xdr:rowOff>238125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00075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3</xdr:row>
      <xdr:rowOff>47625</xdr:rowOff>
    </xdr:from>
    <xdr:to>
      <xdr:col>6</xdr:col>
      <xdr:colOff>333375</xdr:colOff>
      <xdr:row>3</xdr:row>
      <xdr:rowOff>219075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19125"/>
          <a:ext cx="1809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3</xdr:row>
      <xdr:rowOff>28575</xdr:rowOff>
    </xdr:from>
    <xdr:to>
      <xdr:col>7</xdr:col>
      <xdr:colOff>438150</xdr:colOff>
      <xdr:row>4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00075"/>
          <a:ext cx="3714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3</xdr:row>
      <xdr:rowOff>38100</xdr:rowOff>
    </xdr:from>
    <xdr:to>
      <xdr:col>8</xdr:col>
      <xdr:colOff>704850</xdr:colOff>
      <xdr:row>3</xdr:row>
      <xdr:rowOff>266700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6762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</xdr:row>
      <xdr:rowOff>104775</xdr:rowOff>
    </xdr:from>
    <xdr:to>
      <xdr:col>3</xdr:col>
      <xdr:colOff>523875</xdr:colOff>
      <xdr:row>3</xdr:row>
      <xdr:rowOff>142875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485775"/>
          <a:ext cx="4476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171450</xdr:colOff>
      <xdr:row>3</xdr:row>
      <xdr:rowOff>47625</xdr:rowOff>
    </xdr:from>
    <xdr:ext cx="257175" cy="180975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19125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190500</xdr:colOff>
      <xdr:row>3</xdr:row>
      <xdr:rowOff>28575</xdr:rowOff>
    </xdr:from>
    <xdr:ext cx="219075" cy="20955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00075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152400</xdr:colOff>
      <xdr:row>3</xdr:row>
      <xdr:rowOff>47625</xdr:rowOff>
    </xdr:from>
    <xdr:ext cx="180975" cy="171450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19125"/>
          <a:ext cx="1809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66675</xdr:colOff>
      <xdr:row>3</xdr:row>
      <xdr:rowOff>28575</xdr:rowOff>
    </xdr:from>
    <xdr:ext cx="371475" cy="247650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00075"/>
          <a:ext cx="3714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28575</xdr:colOff>
      <xdr:row>3</xdr:row>
      <xdr:rowOff>38100</xdr:rowOff>
    </xdr:from>
    <xdr:ext cx="676275" cy="2286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6762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5"/>
  <sheetViews>
    <sheetView workbookViewId="0">
      <selection activeCell="C4" sqref="C4"/>
    </sheetView>
  </sheetViews>
  <sheetFormatPr defaultRowHeight="15" x14ac:dyDescent="0.25"/>
  <cols>
    <col min="3" max="3" width="10.5703125" style="2" bestFit="1" customWidth="1"/>
    <col min="4" max="4" width="10.28515625" style="2" customWidth="1"/>
    <col min="5" max="6" width="11.28515625" style="2" customWidth="1"/>
    <col min="7" max="7" width="11.5703125" bestFit="1" customWidth="1"/>
    <col min="8" max="8" width="9.140625" style="2"/>
    <col min="9" max="9" width="9.42578125" customWidth="1"/>
    <col min="10" max="10" width="12.7109375" bestFit="1" customWidth="1"/>
    <col min="11" max="11" width="10.5703125" bestFit="1" customWidth="1"/>
    <col min="12" max="12" width="11.7109375" bestFit="1" customWidth="1"/>
    <col min="13" max="13" width="14.140625" style="3" customWidth="1"/>
    <col min="14" max="14" width="16.28515625" customWidth="1"/>
    <col min="17" max="17" width="11.28515625" customWidth="1"/>
    <col min="18" max="18" width="11" customWidth="1"/>
  </cols>
  <sheetData>
    <row r="1" spans="1:17" ht="19.5" customHeight="1" x14ac:dyDescent="0.25"/>
    <row r="2" spans="1:17" ht="15.75" x14ac:dyDescent="0.25">
      <c r="B2" s="101" t="s">
        <v>9</v>
      </c>
      <c r="C2" s="102">
        <f>((F2-F3)-(F3-F4)/(J2-1))/(F2+J2*(F3-F4)+(J2*K2-1)*F4)</f>
        <v>0.49088970139162674</v>
      </c>
      <c r="E2" s="87" t="s">
        <v>6</v>
      </c>
      <c r="F2" s="96">
        <f>SUM(N8:N23) * J2*K2/(I2-1)</f>
        <v>15961.332812500001</v>
      </c>
      <c r="H2" s="97"/>
      <c r="I2" s="98">
        <v>16</v>
      </c>
      <c r="J2" s="99">
        <v>4</v>
      </c>
      <c r="K2" s="100">
        <v>2</v>
      </c>
    </row>
    <row r="3" spans="1:17" ht="15.75" x14ac:dyDescent="0.25">
      <c r="B3" s="101" t="s">
        <v>10</v>
      </c>
      <c r="C3" s="102">
        <f>(F2+J2*F3-(J2+1)*F4)/(F2+J2*F3+(J2*K2-J2-1)*F4)</f>
        <v>0.5059497735901799</v>
      </c>
      <c r="E3" s="87" t="s">
        <v>7</v>
      </c>
      <c r="F3" s="96">
        <f>SUM(I28:L43) * K2/((J2-1)*(I2-1))</f>
        <v>1852.5578125</v>
      </c>
    </row>
    <row r="4" spans="1:17" ht="15.75" x14ac:dyDescent="0.25">
      <c r="E4" s="87" t="s">
        <v>8</v>
      </c>
      <c r="F4" s="88">
        <f>SUM(C43:F74)/(J2*I2*(K2-1))</f>
        <v>1771.5546875</v>
      </c>
    </row>
    <row r="5" spans="1:17" ht="15.75" x14ac:dyDescent="0.25">
      <c r="E5" s="87"/>
      <c r="F5" s="88"/>
    </row>
    <row r="6" spans="1:17" ht="25.5" customHeight="1" x14ac:dyDescent="0.25">
      <c r="B6" s="113" t="s">
        <v>5</v>
      </c>
      <c r="C6" s="119"/>
      <c r="D6" s="120"/>
      <c r="E6" s="120"/>
      <c r="F6" s="121"/>
      <c r="H6" s="113" t="s">
        <v>5</v>
      </c>
      <c r="I6" s="119"/>
      <c r="J6" s="120"/>
      <c r="K6" s="120"/>
      <c r="L6" s="120"/>
      <c r="M6" s="121"/>
      <c r="N6" s="122"/>
    </row>
    <row r="7" spans="1:17" ht="31.5" customHeight="1" x14ac:dyDescent="0.3">
      <c r="A7" s="95"/>
      <c r="B7" s="117"/>
      <c r="C7" s="111" t="s">
        <v>0</v>
      </c>
      <c r="D7" s="111" t="s">
        <v>1</v>
      </c>
      <c r="E7" s="111" t="s">
        <v>2</v>
      </c>
      <c r="F7" s="111" t="s">
        <v>3</v>
      </c>
      <c r="G7" s="95"/>
      <c r="H7" s="117"/>
      <c r="I7" s="111" t="s">
        <v>0</v>
      </c>
      <c r="J7" s="111" t="s">
        <v>1</v>
      </c>
      <c r="K7" s="111" t="s">
        <v>2</v>
      </c>
      <c r="L7" s="111" t="s">
        <v>3</v>
      </c>
      <c r="M7" s="123"/>
      <c r="N7" s="124"/>
    </row>
    <row r="8" spans="1:17" ht="15.75" x14ac:dyDescent="0.25">
      <c r="A8" s="89"/>
      <c r="B8" s="112">
        <v>1</v>
      </c>
      <c r="C8" s="103">
        <v>115</v>
      </c>
      <c r="D8" s="103">
        <v>132</v>
      </c>
      <c r="E8" s="103">
        <v>22</v>
      </c>
      <c r="F8" s="103">
        <v>33</v>
      </c>
      <c r="G8" s="89"/>
      <c r="H8" s="118">
        <v>1</v>
      </c>
      <c r="I8" s="104">
        <f>AVERAGE(C8:C9)</f>
        <v>80</v>
      </c>
      <c r="J8" s="104">
        <f t="shared" ref="J8:L8" si="0">AVERAGE(D8:D9)</f>
        <v>83</v>
      </c>
      <c r="K8" s="104">
        <f t="shared" si="0"/>
        <v>132.5</v>
      </c>
      <c r="L8" s="104">
        <f t="shared" si="0"/>
        <v>21.5</v>
      </c>
      <c r="M8" s="126">
        <f>AVERAGE(C8:F9)</f>
        <v>79.25</v>
      </c>
      <c r="N8" s="130">
        <f>(M8-$M$24)^2</f>
        <v>238.07525634765625</v>
      </c>
    </row>
    <row r="9" spans="1:17" ht="15.75" x14ac:dyDescent="0.25">
      <c r="A9" s="89"/>
      <c r="B9" s="112">
        <v>1</v>
      </c>
      <c r="C9" s="103">
        <v>45</v>
      </c>
      <c r="D9" s="103">
        <v>34</v>
      </c>
      <c r="E9" s="103">
        <v>243</v>
      </c>
      <c r="F9" s="103">
        <v>10</v>
      </c>
      <c r="G9" s="89"/>
      <c r="H9" s="118">
        <v>2</v>
      </c>
      <c r="I9" s="104">
        <f>AVERAGE(C10:C11)</f>
        <v>194</v>
      </c>
      <c r="J9" s="104">
        <f t="shared" ref="J9:L9" si="1">AVERAGE(D10:D11)</f>
        <v>193.5</v>
      </c>
      <c r="K9" s="104">
        <f t="shared" si="1"/>
        <v>219.5</v>
      </c>
      <c r="L9" s="104">
        <f t="shared" si="1"/>
        <v>200.5</v>
      </c>
      <c r="M9" s="126">
        <f>AVERAGE(C10:F11)</f>
        <v>201.875</v>
      </c>
      <c r="N9" s="130">
        <f t="shared" ref="N9:N23" si="2">(M9-$M$24)^2</f>
        <v>11490.835021972656</v>
      </c>
    </row>
    <row r="10" spans="1:17" ht="15.75" x14ac:dyDescent="0.25">
      <c r="A10" s="89"/>
      <c r="B10" s="112">
        <v>2</v>
      </c>
      <c r="C10" s="103">
        <v>191</v>
      </c>
      <c r="D10" s="103">
        <v>191</v>
      </c>
      <c r="E10" s="103">
        <v>216</v>
      </c>
      <c r="F10" s="103">
        <v>193</v>
      </c>
      <c r="G10" s="89"/>
      <c r="H10" s="118">
        <v>3</v>
      </c>
      <c r="I10" s="104">
        <f>AVERAGE(C12:C13)</f>
        <v>38.5</v>
      </c>
      <c r="J10" s="104">
        <f t="shared" ref="J10:L10" si="3">AVERAGE(D12:D13)</f>
        <v>26</v>
      </c>
      <c r="K10" s="104">
        <f t="shared" si="3"/>
        <v>28.5</v>
      </c>
      <c r="L10" s="104">
        <f t="shared" si="3"/>
        <v>25.5</v>
      </c>
      <c r="M10" s="126">
        <f>AVERAGE(C12:F13)</f>
        <v>29.625</v>
      </c>
      <c r="N10" s="130">
        <f t="shared" si="2"/>
        <v>4232.1123657226563</v>
      </c>
      <c r="P10" s="108"/>
      <c r="Q10" s="108"/>
    </row>
    <row r="11" spans="1:17" ht="15.75" x14ac:dyDescent="0.25">
      <c r="A11" s="89"/>
      <c r="B11" s="112">
        <v>2</v>
      </c>
      <c r="C11" s="103">
        <v>197</v>
      </c>
      <c r="D11" s="103">
        <v>196</v>
      </c>
      <c r="E11" s="103">
        <v>223</v>
      </c>
      <c r="F11" s="103">
        <v>208</v>
      </c>
      <c r="G11" s="89"/>
      <c r="H11" s="118">
        <v>4</v>
      </c>
      <c r="I11" s="104">
        <f>AVERAGE(C14:C15)</f>
        <v>57.5</v>
      </c>
      <c r="J11" s="104">
        <f t="shared" ref="J11:L11" si="4">AVERAGE(D14:D15)</f>
        <v>134</v>
      </c>
      <c r="K11" s="104">
        <f t="shared" si="4"/>
        <v>47</v>
      </c>
      <c r="L11" s="104">
        <f t="shared" si="4"/>
        <v>140.5</v>
      </c>
      <c r="M11" s="126">
        <f>AVERAGE(C14:F15)</f>
        <v>94.75</v>
      </c>
      <c r="N11" s="130">
        <f t="shared" si="2"/>
        <v>4.94384765625E-3</v>
      </c>
      <c r="P11" s="108"/>
      <c r="Q11" s="108"/>
    </row>
    <row r="12" spans="1:17" ht="15.75" x14ac:dyDescent="0.25">
      <c r="A12" s="89"/>
      <c r="B12" s="112">
        <v>3</v>
      </c>
      <c r="C12" s="103">
        <v>50</v>
      </c>
      <c r="D12" s="103">
        <v>29</v>
      </c>
      <c r="E12" s="103">
        <v>26</v>
      </c>
      <c r="F12" s="103">
        <v>25</v>
      </c>
      <c r="G12" s="89"/>
      <c r="H12" s="118">
        <v>5</v>
      </c>
      <c r="I12" s="104">
        <f>AVERAGE(C16:C17)</f>
        <v>180.5</v>
      </c>
      <c r="J12" s="104">
        <f t="shared" ref="J12:L12" si="5">AVERAGE(D16:D17)</f>
        <v>145.5</v>
      </c>
      <c r="K12" s="104">
        <f t="shared" si="5"/>
        <v>167</v>
      </c>
      <c r="L12" s="104">
        <f t="shared" si="5"/>
        <v>167.5</v>
      </c>
      <c r="M12" s="126">
        <f>AVERAGE(C16:F17)</f>
        <v>165.125</v>
      </c>
      <c r="N12" s="130">
        <f t="shared" si="2"/>
        <v>4962.5420532226563</v>
      </c>
      <c r="P12" s="97"/>
      <c r="Q12" s="97"/>
    </row>
    <row r="13" spans="1:17" ht="15.75" x14ac:dyDescent="0.25">
      <c r="A13" s="89"/>
      <c r="B13" s="112">
        <v>3</v>
      </c>
      <c r="C13" s="103">
        <v>27</v>
      </c>
      <c r="D13" s="103">
        <v>23</v>
      </c>
      <c r="E13" s="103">
        <v>31</v>
      </c>
      <c r="F13" s="103">
        <v>26</v>
      </c>
      <c r="G13" s="89"/>
      <c r="H13" s="118">
        <v>6</v>
      </c>
      <c r="I13" s="104">
        <f>AVERAGE(C18:C19)</f>
        <v>118.5</v>
      </c>
      <c r="J13" s="104">
        <f t="shared" ref="J13:L13" si="6">AVERAGE(D18:D19)</f>
        <v>100.5</v>
      </c>
      <c r="K13" s="104">
        <f t="shared" si="6"/>
        <v>28.5</v>
      </c>
      <c r="L13" s="104">
        <f t="shared" si="6"/>
        <v>96</v>
      </c>
      <c r="M13" s="126">
        <f>AVERAGE(C18:F19)</f>
        <v>85.875</v>
      </c>
      <c r="N13" s="130">
        <f t="shared" si="2"/>
        <v>77.52252197265625</v>
      </c>
    </row>
    <row r="14" spans="1:17" ht="15.75" x14ac:dyDescent="0.25">
      <c r="A14" s="89"/>
      <c r="B14" s="112">
        <v>4</v>
      </c>
      <c r="C14" s="103">
        <v>63</v>
      </c>
      <c r="D14" s="103">
        <v>175</v>
      </c>
      <c r="E14" s="103">
        <v>29</v>
      </c>
      <c r="F14" s="103">
        <v>189</v>
      </c>
      <c r="G14" s="89"/>
      <c r="H14" s="118">
        <v>7</v>
      </c>
      <c r="I14" s="104">
        <f>AVERAGE(C20:C21)</f>
        <v>132</v>
      </c>
      <c r="J14" s="104">
        <f t="shared" ref="J14:L14" si="7">AVERAGE(D20:D21)</f>
        <v>130</v>
      </c>
      <c r="K14" s="104">
        <f t="shared" si="7"/>
        <v>140.5</v>
      </c>
      <c r="L14" s="104">
        <f t="shared" si="7"/>
        <v>155.5</v>
      </c>
      <c r="M14" s="126">
        <f>AVERAGE(C20:F21)</f>
        <v>139.5</v>
      </c>
      <c r="N14" s="130">
        <f t="shared" si="2"/>
        <v>2008.8604125976563</v>
      </c>
    </row>
    <row r="15" spans="1:17" ht="15.75" x14ac:dyDescent="0.25">
      <c r="A15" s="89"/>
      <c r="B15" s="112">
        <v>4</v>
      </c>
      <c r="C15" s="103">
        <v>52</v>
      </c>
      <c r="D15" s="103">
        <v>93</v>
      </c>
      <c r="E15" s="103">
        <v>65</v>
      </c>
      <c r="F15" s="103">
        <v>92</v>
      </c>
      <c r="G15" s="89"/>
      <c r="H15" s="118">
        <v>8</v>
      </c>
      <c r="I15" s="104">
        <f>AVERAGE(C22:C23)</f>
        <v>161.5</v>
      </c>
      <c r="J15" s="104">
        <f t="shared" ref="J15:L15" si="8">AVERAGE(D22:D23)</f>
        <v>61</v>
      </c>
      <c r="K15" s="104">
        <f t="shared" si="8"/>
        <v>74.5</v>
      </c>
      <c r="L15" s="104">
        <f t="shared" si="8"/>
        <v>112</v>
      </c>
      <c r="M15" s="126">
        <f>AVERAGE(C22:F23)</f>
        <v>102.25</v>
      </c>
      <c r="N15" s="130">
        <f t="shared" si="2"/>
        <v>57.30963134765625</v>
      </c>
      <c r="O15" s="5"/>
    </row>
    <row r="16" spans="1:17" ht="15.75" x14ac:dyDescent="0.25">
      <c r="A16" s="89"/>
      <c r="B16" s="112">
        <v>5</v>
      </c>
      <c r="C16" s="103">
        <v>195</v>
      </c>
      <c r="D16" s="103">
        <v>149</v>
      </c>
      <c r="E16" s="103">
        <v>170</v>
      </c>
      <c r="F16" s="103">
        <v>155</v>
      </c>
      <c r="G16" s="89"/>
      <c r="H16" s="118">
        <v>9</v>
      </c>
      <c r="I16" s="104">
        <f>AVERAGE(C24:C25)</f>
        <v>127</v>
      </c>
      <c r="J16" s="104">
        <f t="shared" ref="J16:L16" si="9">AVERAGE(D24:D25)</f>
        <v>87.5</v>
      </c>
      <c r="K16" s="104">
        <f t="shared" si="9"/>
        <v>125</v>
      </c>
      <c r="L16" s="104">
        <f t="shared" si="9"/>
        <v>76</v>
      </c>
      <c r="M16" s="127">
        <f>AVERAGE(C24:F25)</f>
        <v>103.875</v>
      </c>
      <c r="N16" s="130">
        <f t="shared" si="2"/>
        <v>84.55377197265625</v>
      </c>
      <c r="O16" s="4"/>
    </row>
    <row r="17" spans="1:19" ht="15.75" x14ac:dyDescent="0.25">
      <c r="A17" s="89"/>
      <c r="B17" s="112">
        <v>5</v>
      </c>
      <c r="C17" s="103">
        <v>166</v>
      </c>
      <c r="D17" s="103">
        <v>142</v>
      </c>
      <c r="E17" s="103">
        <v>164</v>
      </c>
      <c r="F17" s="103">
        <v>180</v>
      </c>
      <c r="G17" s="89"/>
      <c r="H17" s="118">
        <v>10</v>
      </c>
      <c r="I17" s="104">
        <f>AVERAGE(C26:C27)</f>
        <v>110</v>
      </c>
      <c r="J17" s="104">
        <f t="shared" ref="J17:L17" si="10">AVERAGE(D26:D27)</f>
        <v>63</v>
      </c>
      <c r="K17" s="104">
        <f t="shared" si="10"/>
        <v>62</v>
      </c>
      <c r="L17" s="104">
        <f t="shared" si="10"/>
        <v>51.5</v>
      </c>
      <c r="M17" s="127">
        <f>AVERAGE(C26:F27)</f>
        <v>71.625</v>
      </c>
      <c r="N17" s="130">
        <f t="shared" si="2"/>
        <v>531.51861572265625</v>
      </c>
      <c r="O17" s="4"/>
      <c r="Q17" s="9"/>
    </row>
    <row r="18" spans="1:19" ht="15.75" x14ac:dyDescent="0.25">
      <c r="A18" s="89"/>
      <c r="B18" s="112">
        <v>6</v>
      </c>
      <c r="C18" s="103">
        <v>67</v>
      </c>
      <c r="D18" s="103">
        <v>160</v>
      </c>
      <c r="E18" s="103">
        <v>35</v>
      </c>
      <c r="F18" s="103">
        <v>33</v>
      </c>
      <c r="G18" s="89"/>
      <c r="H18" s="118">
        <v>11</v>
      </c>
      <c r="I18" s="104">
        <f>AVERAGE(C28:C29)</f>
        <v>78</v>
      </c>
      <c r="J18" s="104">
        <f t="shared" ref="J18:L18" si="11">AVERAGE(D28:D29)</f>
        <v>93</v>
      </c>
      <c r="K18" s="104">
        <f t="shared" si="11"/>
        <v>123</v>
      </c>
      <c r="L18" s="104">
        <f t="shared" si="11"/>
        <v>120.5</v>
      </c>
      <c r="M18" s="127">
        <f>AVERAGE(C28:F29)</f>
        <v>103.625</v>
      </c>
      <c r="N18" s="130">
        <f t="shared" si="2"/>
        <v>80.01861572265625</v>
      </c>
      <c r="O18" s="4"/>
      <c r="Q18" s="12"/>
      <c r="R18" s="13"/>
      <c r="S18" s="5"/>
    </row>
    <row r="19" spans="1:19" ht="15.75" x14ac:dyDescent="0.25">
      <c r="A19" s="89"/>
      <c r="B19" s="112">
        <v>6</v>
      </c>
      <c r="C19" s="103">
        <v>170</v>
      </c>
      <c r="D19" s="103">
        <v>41</v>
      </c>
      <c r="E19" s="103">
        <v>22</v>
      </c>
      <c r="F19" s="103">
        <v>159</v>
      </c>
      <c r="G19" s="89"/>
      <c r="H19" s="118">
        <v>12</v>
      </c>
      <c r="I19" s="104">
        <f>AVERAGE(C30:C31)</f>
        <v>108.5</v>
      </c>
      <c r="J19" s="104">
        <f t="shared" ref="J19:L19" si="12">AVERAGE(D30:D31)</f>
        <v>118.5</v>
      </c>
      <c r="K19" s="104">
        <f t="shared" si="12"/>
        <v>70.5</v>
      </c>
      <c r="L19" s="104">
        <f t="shared" si="12"/>
        <v>78</v>
      </c>
      <c r="M19" s="126">
        <f>AVERAGE(C30:F31)</f>
        <v>93.875</v>
      </c>
      <c r="N19" s="130">
        <f t="shared" si="2"/>
        <v>0.64752197265625</v>
      </c>
      <c r="R19" s="4"/>
    </row>
    <row r="20" spans="1:19" ht="15.75" x14ac:dyDescent="0.25">
      <c r="A20" s="89"/>
      <c r="B20" s="112">
        <v>7</v>
      </c>
      <c r="C20" s="103">
        <v>192</v>
      </c>
      <c r="D20" s="103">
        <v>140</v>
      </c>
      <c r="E20" s="103">
        <v>138</v>
      </c>
      <c r="F20" s="103">
        <v>184</v>
      </c>
      <c r="G20" s="89"/>
      <c r="H20" s="118">
        <v>13</v>
      </c>
      <c r="I20" s="104">
        <f>AVERAGE(C32:C33)</f>
        <v>128</v>
      </c>
      <c r="J20" s="104">
        <f t="shared" ref="J20:L20" si="13">AVERAGE(D32:D33)</f>
        <v>94</v>
      </c>
      <c r="K20" s="104">
        <f t="shared" si="13"/>
        <v>47</v>
      </c>
      <c r="L20" s="104">
        <f t="shared" si="13"/>
        <v>107</v>
      </c>
      <c r="M20" s="126">
        <f>AVERAGE(C32:F33)</f>
        <v>94</v>
      </c>
      <c r="N20" s="130">
        <f t="shared" si="2"/>
        <v>0.46197509765625</v>
      </c>
      <c r="R20" s="4"/>
    </row>
    <row r="21" spans="1:19" ht="15.75" x14ac:dyDescent="0.25">
      <c r="A21" s="89"/>
      <c r="B21" s="112">
        <v>7</v>
      </c>
      <c r="C21" s="103">
        <v>72</v>
      </c>
      <c r="D21" s="103">
        <v>120</v>
      </c>
      <c r="E21" s="103">
        <v>143</v>
      </c>
      <c r="F21" s="103">
        <v>127</v>
      </c>
      <c r="G21" s="89"/>
      <c r="H21" s="118">
        <v>14</v>
      </c>
      <c r="I21" s="104">
        <f>AVERAGE(C34:C35)</f>
        <v>76.5</v>
      </c>
      <c r="J21" s="104">
        <f t="shared" ref="J21:L21" si="14">AVERAGE(D34:D35)</f>
        <v>32</v>
      </c>
      <c r="K21" s="104">
        <f t="shared" si="14"/>
        <v>29</v>
      </c>
      <c r="L21" s="104">
        <f t="shared" si="14"/>
        <v>27.5</v>
      </c>
      <c r="M21" s="126">
        <f>AVERAGE(C34:F35)</f>
        <v>41.25</v>
      </c>
      <c r="N21" s="130">
        <f t="shared" si="2"/>
        <v>2854.7315063476563</v>
      </c>
      <c r="R21" s="4"/>
    </row>
    <row r="22" spans="1:19" ht="15.75" x14ac:dyDescent="0.25">
      <c r="A22" s="89"/>
      <c r="B22" s="112">
        <v>8</v>
      </c>
      <c r="C22" s="103">
        <v>153</v>
      </c>
      <c r="D22" s="103">
        <v>61</v>
      </c>
      <c r="E22" s="103">
        <v>77</v>
      </c>
      <c r="F22" s="103">
        <v>172</v>
      </c>
      <c r="G22" s="89"/>
      <c r="H22" s="118">
        <v>15</v>
      </c>
      <c r="I22" s="104">
        <f>AVERAGE(C36:C37)</f>
        <v>40</v>
      </c>
      <c r="J22" s="104">
        <f t="shared" ref="J22:L22" si="15">AVERAGE(D36:D37)</f>
        <v>45</v>
      </c>
      <c r="K22" s="104">
        <f t="shared" si="15"/>
        <v>71.5</v>
      </c>
      <c r="L22" s="104">
        <f t="shared" si="15"/>
        <v>45</v>
      </c>
      <c r="M22" s="126">
        <f>AVERAGE(C36:F37)</f>
        <v>50.375</v>
      </c>
      <c r="N22" s="130">
        <f t="shared" si="2"/>
        <v>1962.9053344726563</v>
      </c>
      <c r="R22" s="4"/>
    </row>
    <row r="23" spans="1:19" ht="15.75" x14ac:dyDescent="0.25">
      <c r="A23" s="89"/>
      <c r="B23" s="112">
        <v>8</v>
      </c>
      <c r="C23" s="103">
        <v>170</v>
      </c>
      <c r="D23" s="103">
        <v>61</v>
      </c>
      <c r="E23" s="103">
        <v>72</v>
      </c>
      <c r="F23" s="103">
        <v>52</v>
      </c>
      <c r="G23" s="89"/>
      <c r="H23" s="118">
        <v>16</v>
      </c>
      <c r="I23" s="104">
        <f>AVERAGE(C38:C39)</f>
        <v>36</v>
      </c>
      <c r="J23" s="104">
        <f t="shared" ref="J23:L23" si="16">AVERAGE(D38:D39)</f>
        <v>117.5</v>
      </c>
      <c r="K23" s="104">
        <f t="shared" si="16"/>
        <v>20</v>
      </c>
      <c r="L23" s="104">
        <f t="shared" si="16"/>
        <v>58.5</v>
      </c>
      <c r="M23" s="126">
        <f>AVERAGE(C38:F39)</f>
        <v>58</v>
      </c>
      <c r="N23" s="130">
        <f t="shared" si="2"/>
        <v>1345.3994750976563</v>
      </c>
    </row>
    <row r="24" spans="1:19" ht="22.5" customHeight="1" x14ac:dyDescent="0.25">
      <c r="A24" s="89"/>
      <c r="B24" s="129">
        <v>9</v>
      </c>
      <c r="C24" s="103">
        <v>140</v>
      </c>
      <c r="D24" s="103">
        <v>74</v>
      </c>
      <c r="E24" s="103">
        <v>65</v>
      </c>
      <c r="F24" s="103">
        <v>66</v>
      </c>
      <c r="G24" s="89"/>
      <c r="H24" s="125"/>
      <c r="I24" s="129">
        <f>AVERAGE(C8:C39)</f>
        <v>104.15625</v>
      </c>
      <c r="J24" s="129">
        <f t="shared" ref="J24:L24" si="17">AVERAGE(D8:D39)</f>
        <v>95.25</v>
      </c>
      <c r="K24" s="129">
        <f t="shared" si="17"/>
        <v>86.625</v>
      </c>
      <c r="L24" s="129">
        <f t="shared" si="17"/>
        <v>92.6875</v>
      </c>
      <c r="M24" s="128">
        <f>AVERAGE(C8:F39)</f>
        <v>94.6796875</v>
      </c>
      <c r="N24" s="91"/>
    </row>
    <row r="25" spans="1:19" ht="15.75" x14ac:dyDescent="0.25">
      <c r="A25" s="89"/>
      <c r="B25" s="112">
        <v>9</v>
      </c>
      <c r="C25" s="103">
        <v>114</v>
      </c>
      <c r="D25" s="103">
        <v>101</v>
      </c>
      <c r="E25" s="103">
        <v>185</v>
      </c>
      <c r="F25" s="103">
        <v>86</v>
      </c>
      <c r="G25" s="89"/>
      <c r="H25" s="92"/>
      <c r="I25" s="89"/>
      <c r="J25" s="89"/>
      <c r="K25" s="89"/>
      <c r="L25" s="93"/>
      <c r="M25" s="94"/>
      <c r="N25" s="89"/>
    </row>
    <row r="26" spans="1:19" s="1" customFormat="1" ht="26.25" customHeight="1" x14ac:dyDescent="0.25">
      <c r="A26" s="90"/>
      <c r="B26" s="129">
        <v>10</v>
      </c>
      <c r="C26" s="103">
        <v>122</v>
      </c>
      <c r="D26" s="103">
        <v>56</v>
      </c>
      <c r="E26" s="103">
        <v>60</v>
      </c>
      <c r="F26" s="103">
        <v>50</v>
      </c>
      <c r="G26" s="90"/>
      <c r="H26" s="113" t="s">
        <v>5</v>
      </c>
      <c r="I26" s="114"/>
      <c r="J26" s="115"/>
      <c r="K26" s="115"/>
      <c r="L26" s="116"/>
      <c r="M26" s="90"/>
      <c r="N26" s="90"/>
    </row>
    <row r="27" spans="1:19" ht="15.75" x14ac:dyDescent="0.25">
      <c r="A27" s="89"/>
      <c r="B27" s="112">
        <v>10</v>
      </c>
      <c r="C27" s="103">
        <v>98</v>
      </c>
      <c r="D27" s="103">
        <v>70</v>
      </c>
      <c r="E27" s="103">
        <v>64</v>
      </c>
      <c r="F27" s="103">
        <v>53</v>
      </c>
      <c r="G27" s="89"/>
      <c r="H27" s="117"/>
      <c r="I27" s="111" t="s">
        <v>0</v>
      </c>
      <c r="J27" s="111" t="s">
        <v>1</v>
      </c>
      <c r="K27" s="111" t="s">
        <v>2</v>
      </c>
      <c r="L27" s="111" t="s">
        <v>3</v>
      </c>
      <c r="M27" s="94"/>
      <c r="N27" s="89"/>
    </row>
    <row r="28" spans="1:19" ht="15.75" x14ac:dyDescent="0.25">
      <c r="A28" s="89"/>
      <c r="B28" s="112">
        <v>11</v>
      </c>
      <c r="C28" s="103">
        <v>100</v>
      </c>
      <c r="D28" s="103">
        <v>72</v>
      </c>
      <c r="E28" s="103">
        <v>122</v>
      </c>
      <c r="F28" s="103">
        <v>190</v>
      </c>
      <c r="G28" s="89"/>
      <c r="H28" s="118">
        <v>1</v>
      </c>
      <c r="I28" s="105">
        <f>(I8-$M8-I$24+$M$24)^2</f>
        <v>76.15289306640625</v>
      </c>
      <c r="J28" s="105">
        <f t="shared" ref="J28:L28" si="18">(J8-$M8-J$24+$M$24)^2</f>
        <v>10.11041259765625</v>
      </c>
      <c r="K28" s="105">
        <f t="shared" si="18"/>
        <v>3758.2647094726563</v>
      </c>
      <c r="L28" s="105">
        <f t="shared" si="18"/>
        <v>3108.9336547851563</v>
      </c>
      <c r="M28" s="94"/>
      <c r="N28" s="89"/>
    </row>
    <row r="29" spans="1:19" ht="15.75" x14ac:dyDescent="0.25">
      <c r="A29" s="89"/>
      <c r="B29" s="112">
        <v>11</v>
      </c>
      <c r="C29" s="103">
        <v>56</v>
      </c>
      <c r="D29" s="103">
        <v>114</v>
      </c>
      <c r="E29" s="103">
        <v>124</v>
      </c>
      <c r="F29" s="103">
        <v>51</v>
      </c>
      <c r="G29" s="89"/>
      <c r="H29" s="118">
        <v>2</v>
      </c>
      <c r="I29" s="105">
        <f t="shared" ref="I29:L29" si="19">(I9-$M9-I$24+$M$24)^2</f>
        <v>301.07672119140625</v>
      </c>
      <c r="J29" s="105">
        <f t="shared" si="19"/>
        <v>80.01861572265625</v>
      </c>
      <c r="K29" s="105">
        <f t="shared" si="19"/>
        <v>659.44635009765625</v>
      </c>
      <c r="L29" s="105">
        <f t="shared" si="19"/>
        <v>0.38092041015625</v>
      </c>
      <c r="M29" s="94"/>
      <c r="N29" s="89"/>
    </row>
    <row r="30" spans="1:19" ht="15.75" x14ac:dyDescent="0.25">
      <c r="A30" s="89"/>
      <c r="B30" s="112">
        <v>12</v>
      </c>
      <c r="C30" s="103">
        <v>120</v>
      </c>
      <c r="D30" s="103">
        <v>110</v>
      </c>
      <c r="E30" s="103">
        <v>103</v>
      </c>
      <c r="F30" s="103">
        <v>32</v>
      </c>
      <c r="G30" s="89"/>
      <c r="H30" s="118">
        <v>3</v>
      </c>
      <c r="I30" s="105">
        <f t="shared" ref="I30:L30" si="20">(I10-$M10-I$24+$M$24)^2</f>
        <v>0.36187744140625</v>
      </c>
      <c r="J30" s="105">
        <f t="shared" si="20"/>
        <v>17.60064697265625</v>
      </c>
      <c r="K30" s="105">
        <f t="shared" si="20"/>
        <v>48.02056884765625</v>
      </c>
      <c r="L30" s="105">
        <f t="shared" si="20"/>
        <v>4.54888916015625</v>
      </c>
      <c r="M30" s="94"/>
      <c r="N30" s="89"/>
    </row>
    <row r="31" spans="1:19" ht="15.75" x14ac:dyDescent="0.25">
      <c r="A31" s="89"/>
      <c r="B31" s="112">
        <v>12</v>
      </c>
      <c r="C31" s="103">
        <v>97</v>
      </c>
      <c r="D31" s="103">
        <v>127</v>
      </c>
      <c r="E31" s="103">
        <v>38</v>
      </c>
      <c r="F31" s="103">
        <v>124</v>
      </c>
      <c r="G31" s="89"/>
      <c r="H31" s="118">
        <v>4</v>
      </c>
      <c r="I31" s="105">
        <f t="shared" ref="I31:L31" si="21">(I11-$M11-I$24+$M$24)^2</f>
        <v>2183.3716430664063</v>
      </c>
      <c r="J31" s="105">
        <f t="shared" si="21"/>
        <v>1496.1182250976563</v>
      </c>
      <c r="K31" s="105">
        <f t="shared" si="21"/>
        <v>1575.7178344726563</v>
      </c>
      <c r="L31" s="105">
        <f t="shared" si="21"/>
        <v>2279.3164672851563</v>
      </c>
      <c r="M31" s="94"/>
      <c r="N31" s="89"/>
    </row>
    <row r="32" spans="1:19" ht="15.75" x14ac:dyDescent="0.25">
      <c r="A32" s="89"/>
      <c r="B32" s="112">
        <v>13</v>
      </c>
      <c r="C32" s="103">
        <v>125</v>
      </c>
      <c r="D32" s="103">
        <v>86</v>
      </c>
      <c r="E32" s="103">
        <v>12</v>
      </c>
      <c r="F32" s="103">
        <v>123</v>
      </c>
      <c r="G32" s="89"/>
      <c r="H32" s="118">
        <v>5</v>
      </c>
      <c r="I32" s="105">
        <f t="shared" ref="I32:L32" si="22">(I12-$M12-I$24+$M$24)^2</f>
        <v>34.79156494140625</v>
      </c>
      <c r="J32" s="105">
        <f t="shared" si="22"/>
        <v>407.85064697265625</v>
      </c>
      <c r="K32" s="105">
        <f t="shared" si="22"/>
        <v>98.59869384765625</v>
      </c>
      <c r="L32" s="105">
        <f t="shared" si="22"/>
        <v>19.07232666015625</v>
      </c>
      <c r="M32" s="94"/>
      <c r="N32" s="89"/>
    </row>
    <row r="33" spans="1:14" ht="15.75" x14ac:dyDescent="0.25">
      <c r="A33" s="89"/>
      <c r="B33" s="112">
        <v>13</v>
      </c>
      <c r="C33" s="103">
        <v>131</v>
      </c>
      <c r="D33" s="103">
        <v>102</v>
      </c>
      <c r="E33" s="103">
        <v>82</v>
      </c>
      <c r="F33" s="103">
        <v>91</v>
      </c>
      <c r="G33" s="89"/>
      <c r="H33" s="118">
        <v>6</v>
      </c>
      <c r="I33" s="105">
        <f t="shared" ref="I33:L33" si="23">(I13-$M13-I$24+$M$24)^2</f>
        <v>535.85015869140625</v>
      </c>
      <c r="J33" s="105">
        <f t="shared" si="23"/>
        <v>197.53424072265625</v>
      </c>
      <c r="K33" s="105">
        <f t="shared" si="23"/>
        <v>2432.4932250976563</v>
      </c>
      <c r="L33" s="105">
        <f t="shared" si="23"/>
        <v>146.82623291015625</v>
      </c>
      <c r="M33" s="94"/>
      <c r="N33" s="89"/>
    </row>
    <row r="34" spans="1:14" ht="15.75" x14ac:dyDescent="0.25">
      <c r="A34" s="89"/>
      <c r="B34" s="112">
        <v>14</v>
      </c>
      <c r="C34" s="103">
        <v>100</v>
      </c>
      <c r="D34" s="103">
        <v>29</v>
      </c>
      <c r="E34" s="103">
        <v>36</v>
      </c>
      <c r="F34" s="103">
        <v>23</v>
      </c>
      <c r="G34" s="89"/>
      <c r="H34" s="118">
        <v>7</v>
      </c>
      <c r="I34" s="105">
        <f t="shared" ref="I34:L34" si="24">(I14-$M14-I$24+$M$24)^2</f>
        <v>288.20367431640625</v>
      </c>
      <c r="J34" s="105">
        <f t="shared" si="24"/>
        <v>101.41119384765625</v>
      </c>
      <c r="K34" s="105">
        <f t="shared" si="24"/>
        <v>81.98736572265625</v>
      </c>
      <c r="L34" s="105">
        <f t="shared" si="24"/>
        <v>323.71881103515625</v>
      </c>
      <c r="M34" s="94"/>
      <c r="N34" s="89"/>
    </row>
    <row r="35" spans="1:14" ht="15.75" x14ac:dyDescent="0.25">
      <c r="A35" s="89"/>
      <c r="B35" s="112">
        <v>14</v>
      </c>
      <c r="C35" s="103">
        <v>53</v>
      </c>
      <c r="D35" s="103">
        <v>35</v>
      </c>
      <c r="E35" s="103">
        <v>22</v>
      </c>
      <c r="F35" s="103">
        <v>32</v>
      </c>
      <c r="G35" s="89"/>
      <c r="H35" s="118">
        <v>8</v>
      </c>
      <c r="I35" s="105">
        <f t="shared" ref="I35:L35" si="25">(I15-$M15-I$24+$M$24)^2</f>
        <v>2477.3950805664063</v>
      </c>
      <c r="J35" s="105">
        <f t="shared" si="25"/>
        <v>1748.9385375976563</v>
      </c>
      <c r="K35" s="105">
        <f t="shared" si="25"/>
        <v>387.90533447265625</v>
      </c>
      <c r="L35" s="105">
        <f t="shared" si="25"/>
        <v>137.87896728515625</v>
      </c>
      <c r="M35" s="94"/>
      <c r="N35" s="89"/>
    </row>
    <row r="36" spans="1:14" ht="15.75" x14ac:dyDescent="0.25">
      <c r="A36" s="89"/>
      <c r="B36" s="112">
        <v>15</v>
      </c>
      <c r="C36" s="103">
        <v>42</v>
      </c>
      <c r="D36" s="103">
        <v>39</v>
      </c>
      <c r="E36" s="103">
        <v>84</v>
      </c>
      <c r="F36" s="103">
        <v>50</v>
      </c>
      <c r="G36" s="89"/>
      <c r="H36" s="118">
        <v>9</v>
      </c>
      <c r="I36" s="105">
        <f t="shared" ref="I36:L36" si="26">(I16-$M16-I$24+$M$24)^2</f>
        <v>186.27984619140625</v>
      </c>
      <c r="J36" s="105">
        <f t="shared" si="26"/>
        <v>287.14361572265625</v>
      </c>
      <c r="K36" s="105">
        <f t="shared" si="26"/>
        <v>851.45416259765625</v>
      </c>
      <c r="L36" s="105">
        <f t="shared" si="26"/>
        <v>669.91998291015625</v>
      </c>
      <c r="M36" s="94"/>
      <c r="N36" s="89"/>
    </row>
    <row r="37" spans="1:14" ht="15.75" x14ac:dyDescent="0.25">
      <c r="A37" s="89"/>
      <c r="B37" s="112">
        <v>15</v>
      </c>
      <c r="C37" s="103">
        <v>38</v>
      </c>
      <c r="D37" s="103">
        <v>51</v>
      </c>
      <c r="E37" s="103">
        <v>59</v>
      </c>
      <c r="F37" s="103">
        <v>40</v>
      </c>
      <c r="G37" s="89"/>
      <c r="H37" s="118">
        <v>10</v>
      </c>
      <c r="I37" s="105">
        <f t="shared" ref="I37:L37" si="27">(I17-$M17-I$24+$M$24)^2</f>
        <v>835.11968994140625</v>
      </c>
      <c r="J37" s="105">
        <f t="shared" si="27"/>
        <v>84.55377197265625</v>
      </c>
      <c r="K37" s="105">
        <f t="shared" si="27"/>
        <v>2.46588134765625</v>
      </c>
      <c r="L37" s="105">
        <f t="shared" si="27"/>
        <v>328.79888916015625</v>
      </c>
      <c r="M37" s="94"/>
      <c r="N37" s="89"/>
    </row>
    <row r="38" spans="1:14" ht="15.75" x14ac:dyDescent="0.25">
      <c r="A38" s="89"/>
      <c r="B38" s="112">
        <v>16</v>
      </c>
      <c r="C38" s="103">
        <v>18</v>
      </c>
      <c r="D38" s="103">
        <v>120</v>
      </c>
      <c r="E38" s="103">
        <v>18</v>
      </c>
      <c r="F38" s="103">
        <v>93</v>
      </c>
      <c r="G38" s="89"/>
      <c r="H38" s="118">
        <v>11</v>
      </c>
      <c r="I38" s="105">
        <f t="shared" ref="I38:L38" si="28">(I18-$M18-I$24+$M$24)^2</f>
        <v>1232.1196899414063</v>
      </c>
      <c r="J38" s="105">
        <f t="shared" si="28"/>
        <v>125.33502197265625</v>
      </c>
      <c r="K38" s="105">
        <f t="shared" si="28"/>
        <v>752.38775634765625</v>
      </c>
      <c r="L38" s="105">
        <f t="shared" si="28"/>
        <v>355.97076416015625</v>
      </c>
      <c r="M38" s="94"/>
      <c r="N38" s="89"/>
    </row>
    <row r="39" spans="1:14" ht="15.75" x14ac:dyDescent="0.25">
      <c r="A39" s="89"/>
      <c r="B39" s="112">
        <v>16</v>
      </c>
      <c r="C39" s="103">
        <v>54</v>
      </c>
      <c r="D39" s="103">
        <v>115</v>
      </c>
      <c r="E39" s="103">
        <v>22</v>
      </c>
      <c r="F39" s="103">
        <v>24</v>
      </c>
      <c r="G39" s="89"/>
      <c r="H39" s="118">
        <v>12</v>
      </c>
      <c r="I39" s="105">
        <f t="shared" ref="I39:L39" si="29">(I19-$M19-I$24+$M$24)^2</f>
        <v>26.50640869140625</v>
      </c>
      <c r="J39" s="105">
        <f t="shared" si="29"/>
        <v>578.62799072265625</v>
      </c>
      <c r="K39" s="105">
        <f t="shared" si="29"/>
        <v>234.71197509765625</v>
      </c>
      <c r="L39" s="105">
        <f t="shared" si="29"/>
        <v>192.73248291015625</v>
      </c>
      <c r="M39" s="94"/>
      <c r="N39" s="89"/>
    </row>
    <row r="40" spans="1:14" ht="15.75" x14ac:dyDescent="0.25">
      <c r="A40" s="89"/>
      <c r="B40" s="89"/>
      <c r="C40" s="92"/>
      <c r="D40" s="92"/>
      <c r="E40" s="92"/>
      <c r="F40" s="92"/>
      <c r="G40" s="89"/>
      <c r="H40" s="118">
        <v>13</v>
      </c>
      <c r="I40" s="105">
        <f t="shared" ref="I40:L40" si="30">(I20-$M20-I$24+$M$24)^2</f>
        <v>601.39898681640625</v>
      </c>
      <c r="J40" s="105">
        <f t="shared" si="30"/>
        <v>0.32525634765625</v>
      </c>
      <c r="K40" s="105">
        <f t="shared" si="30"/>
        <v>1516.7373657226563</v>
      </c>
      <c r="L40" s="105">
        <f t="shared" si="30"/>
        <v>224.76568603515625</v>
      </c>
      <c r="M40" s="94"/>
      <c r="N40" s="89"/>
    </row>
    <row r="41" spans="1:14" ht="25.5" customHeight="1" x14ac:dyDescent="0.25">
      <c r="A41" s="89"/>
      <c r="B41" s="109" t="s">
        <v>5</v>
      </c>
      <c r="C41" s="110"/>
      <c r="D41" s="110"/>
      <c r="E41" s="110"/>
      <c r="F41" s="110"/>
      <c r="G41" s="89"/>
      <c r="H41" s="118">
        <v>14</v>
      </c>
      <c r="I41" s="107">
        <f t="shared" ref="I41:L41" si="31">(I21-$M21-I$24+$M$24)^2</f>
        <v>664.27008056640625</v>
      </c>
      <c r="J41" s="107">
        <f t="shared" si="31"/>
        <v>96.43853759765625</v>
      </c>
      <c r="K41" s="107">
        <f t="shared" si="31"/>
        <v>17.60064697265625</v>
      </c>
      <c r="L41" s="107">
        <f t="shared" si="31"/>
        <v>138.24615478515625</v>
      </c>
      <c r="M41" s="94"/>
      <c r="N41" s="89"/>
    </row>
    <row r="42" spans="1:14" ht="15.75" x14ac:dyDescent="0.25">
      <c r="A42" s="89"/>
      <c r="B42" s="109"/>
      <c r="C42" s="111" t="s">
        <v>0</v>
      </c>
      <c r="D42" s="111" t="s">
        <v>1</v>
      </c>
      <c r="E42" s="111" t="s">
        <v>2</v>
      </c>
      <c r="F42" s="111" t="s">
        <v>3</v>
      </c>
      <c r="G42" s="89"/>
      <c r="H42" s="118">
        <v>15</v>
      </c>
      <c r="I42" s="105">
        <f t="shared" ref="I42:L42" si="32">(I22-$M22-I$24+$M$24)^2</f>
        <v>394.08453369140625</v>
      </c>
      <c r="J42" s="105">
        <f t="shared" si="32"/>
        <v>35.34674072265625</v>
      </c>
      <c r="K42" s="105">
        <f t="shared" si="32"/>
        <v>851.45416259765625</v>
      </c>
      <c r="L42" s="105">
        <f t="shared" si="32"/>
        <v>11.44342041015625</v>
      </c>
      <c r="M42" s="94"/>
      <c r="N42" s="89"/>
    </row>
    <row r="43" spans="1:14" ht="15.75" x14ac:dyDescent="0.25">
      <c r="A43" s="89"/>
      <c r="B43" s="112">
        <v>1</v>
      </c>
      <c r="C43" s="106">
        <f>(C8-I8)^2</f>
        <v>1225</v>
      </c>
      <c r="D43" s="106">
        <f t="shared" ref="D43:F43" si="33">(D8-J8)^2</f>
        <v>2401</v>
      </c>
      <c r="E43" s="106">
        <f t="shared" si="33"/>
        <v>12210.25</v>
      </c>
      <c r="F43" s="106">
        <f t="shared" si="33"/>
        <v>132.25</v>
      </c>
      <c r="G43" s="89"/>
      <c r="H43" s="118">
        <v>16</v>
      </c>
      <c r="I43" s="105">
        <f t="shared" ref="I43:L43" si="34">(I23-$M23-I$24+$M$24)^2</f>
        <v>990.77398681640625</v>
      </c>
      <c r="J43" s="105">
        <f t="shared" si="34"/>
        <v>3472.7080688476563</v>
      </c>
      <c r="K43" s="105">
        <f t="shared" si="34"/>
        <v>896.72174072265625</v>
      </c>
      <c r="L43" s="105">
        <f t="shared" si="34"/>
        <v>6.21099853515625</v>
      </c>
      <c r="M43" s="94"/>
      <c r="N43" s="89"/>
    </row>
    <row r="44" spans="1:14" ht="15.75" x14ac:dyDescent="0.25">
      <c r="A44" s="89"/>
      <c r="B44" s="112">
        <v>1</v>
      </c>
      <c r="C44" s="106">
        <f>(C9-I8)^2</f>
        <v>1225</v>
      </c>
      <c r="D44" s="106">
        <f t="shared" ref="D44:F44" si="35">(D9-J8)^2</f>
        <v>2401</v>
      </c>
      <c r="E44" s="106">
        <f t="shared" si="35"/>
        <v>12210.25</v>
      </c>
      <c r="F44" s="106">
        <f t="shared" si="35"/>
        <v>132.25</v>
      </c>
      <c r="G44" s="89"/>
      <c r="H44" s="92"/>
      <c r="I44" s="89"/>
      <c r="J44" s="89"/>
      <c r="K44" s="89"/>
      <c r="L44" s="89"/>
      <c r="M44" s="94"/>
      <c r="N44" s="89"/>
    </row>
    <row r="45" spans="1:14" ht="15.75" x14ac:dyDescent="0.25">
      <c r="A45" s="89"/>
      <c r="B45" s="112">
        <v>2</v>
      </c>
      <c r="C45" s="106">
        <f>(C10-I9)^2</f>
        <v>9</v>
      </c>
      <c r="D45" s="106">
        <f t="shared" ref="D45:F45" si="36">(D10-J9)^2</f>
        <v>6.25</v>
      </c>
      <c r="E45" s="106">
        <f t="shared" si="36"/>
        <v>12.25</v>
      </c>
      <c r="F45" s="106">
        <f t="shared" si="36"/>
        <v>56.25</v>
      </c>
      <c r="G45" s="89"/>
      <c r="H45" s="92"/>
      <c r="I45" s="89"/>
      <c r="J45" s="89"/>
      <c r="K45" s="89"/>
      <c r="L45" s="89"/>
      <c r="M45" s="94"/>
      <c r="N45" s="89"/>
    </row>
    <row r="46" spans="1:14" ht="15.75" x14ac:dyDescent="0.25">
      <c r="A46" s="89"/>
      <c r="B46" s="112">
        <v>2</v>
      </c>
      <c r="C46" s="106">
        <f>(C11-I9)^2</f>
        <v>9</v>
      </c>
      <c r="D46" s="106">
        <f t="shared" ref="D46:F46" si="37">(D11-J9)^2</f>
        <v>6.25</v>
      </c>
      <c r="E46" s="106">
        <f t="shared" si="37"/>
        <v>12.25</v>
      </c>
      <c r="F46" s="106">
        <f t="shared" si="37"/>
        <v>56.25</v>
      </c>
      <c r="G46" s="89"/>
      <c r="H46" s="92"/>
      <c r="I46" s="89"/>
      <c r="J46" s="89"/>
      <c r="K46" s="89"/>
      <c r="L46" s="89"/>
      <c r="M46" s="94"/>
      <c r="N46" s="89"/>
    </row>
    <row r="47" spans="1:14" ht="15.75" x14ac:dyDescent="0.25">
      <c r="A47" s="89"/>
      <c r="B47" s="112">
        <v>3</v>
      </c>
      <c r="C47" s="106">
        <f>(C12-I10)^2</f>
        <v>132.25</v>
      </c>
      <c r="D47" s="106">
        <f t="shared" ref="D47:F47" si="38">(D12-J10)^2</f>
        <v>9</v>
      </c>
      <c r="E47" s="106">
        <f t="shared" si="38"/>
        <v>6.25</v>
      </c>
      <c r="F47" s="106">
        <f t="shared" si="38"/>
        <v>0.25</v>
      </c>
      <c r="G47" s="89"/>
      <c r="H47" s="92"/>
      <c r="I47" s="89"/>
      <c r="J47" s="89"/>
      <c r="K47" s="89"/>
      <c r="L47" s="89"/>
      <c r="M47" s="94"/>
      <c r="N47" s="89"/>
    </row>
    <row r="48" spans="1:14" ht="15.75" x14ac:dyDescent="0.25">
      <c r="A48" s="89"/>
      <c r="B48" s="112">
        <v>3</v>
      </c>
      <c r="C48" s="106">
        <f>(C13-I10)^2</f>
        <v>132.25</v>
      </c>
      <c r="D48" s="106">
        <f t="shared" ref="D48:F48" si="39">(D13-J10)^2</f>
        <v>9</v>
      </c>
      <c r="E48" s="106">
        <f t="shared" si="39"/>
        <v>6.25</v>
      </c>
      <c r="F48" s="106">
        <f t="shared" si="39"/>
        <v>0.25</v>
      </c>
      <c r="G48" s="89"/>
      <c r="H48" s="92"/>
      <c r="I48" s="89"/>
      <c r="J48" s="89"/>
      <c r="K48" s="89"/>
      <c r="L48" s="89"/>
      <c r="M48" s="94"/>
      <c r="N48" s="89"/>
    </row>
    <row r="49" spans="1:14" ht="15.75" x14ac:dyDescent="0.25">
      <c r="A49" s="89"/>
      <c r="B49" s="112">
        <v>4</v>
      </c>
      <c r="C49" s="106">
        <f>(C14-I11)^2</f>
        <v>30.25</v>
      </c>
      <c r="D49" s="106">
        <f t="shared" ref="D49:F49" si="40">(D14-J11)^2</f>
        <v>1681</v>
      </c>
      <c r="E49" s="106">
        <f t="shared" si="40"/>
        <v>324</v>
      </c>
      <c r="F49" s="106">
        <f t="shared" si="40"/>
        <v>2352.25</v>
      </c>
      <c r="G49" s="89"/>
      <c r="H49" s="92"/>
      <c r="I49" s="89"/>
      <c r="J49" s="89"/>
      <c r="K49" s="89"/>
      <c r="L49" s="89"/>
      <c r="M49" s="94"/>
      <c r="N49" s="89"/>
    </row>
    <row r="50" spans="1:14" ht="15.75" x14ac:dyDescent="0.25">
      <c r="A50" s="89"/>
      <c r="B50" s="112">
        <v>4</v>
      </c>
      <c r="C50" s="106">
        <f>(C15-I11)^2</f>
        <v>30.25</v>
      </c>
      <c r="D50" s="106">
        <f t="shared" ref="D50:E50" si="41">(D15-J11)^2</f>
        <v>1681</v>
      </c>
      <c r="E50" s="106">
        <f t="shared" si="41"/>
        <v>324</v>
      </c>
      <c r="F50" s="106">
        <f>(F15-L11)^2</f>
        <v>2352.25</v>
      </c>
      <c r="G50" s="89"/>
      <c r="H50" s="92"/>
      <c r="I50" s="89"/>
      <c r="J50" s="89"/>
      <c r="K50" s="89"/>
      <c r="L50" s="89"/>
      <c r="M50" s="94"/>
      <c r="N50" s="89"/>
    </row>
    <row r="51" spans="1:14" ht="15.75" x14ac:dyDescent="0.25">
      <c r="A51" s="89"/>
      <c r="B51" s="112">
        <v>5</v>
      </c>
      <c r="C51" s="106">
        <f>(C16-I12)^2</f>
        <v>210.25</v>
      </c>
      <c r="D51" s="106">
        <f t="shared" ref="D51:F51" si="42">(D16-J12)^2</f>
        <v>12.25</v>
      </c>
      <c r="E51" s="106">
        <f t="shared" si="42"/>
        <v>9</v>
      </c>
      <c r="F51" s="106">
        <f t="shared" si="42"/>
        <v>156.25</v>
      </c>
      <c r="G51" s="89"/>
      <c r="H51" s="92"/>
      <c r="I51" s="89"/>
      <c r="J51" s="89"/>
      <c r="K51" s="89"/>
      <c r="L51" s="89"/>
      <c r="M51" s="94"/>
      <c r="N51" s="89"/>
    </row>
    <row r="52" spans="1:14" ht="15.75" x14ac:dyDescent="0.25">
      <c r="A52" s="89"/>
      <c r="B52" s="112">
        <v>5</v>
      </c>
      <c r="C52" s="106">
        <f>(C17-I12)^2</f>
        <v>210.25</v>
      </c>
      <c r="D52" s="106">
        <f t="shared" ref="D52:F52" si="43">(D17-J12)^2</f>
        <v>12.25</v>
      </c>
      <c r="E52" s="106">
        <f t="shared" si="43"/>
        <v>9</v>
      </c>
      <c r="F52" s="106">
        <f t="shared" si="43"/>
        <v>156.25</v>
      </c>
      <c r="G52" s="89"/>
      <c r="H52" s="92"/>
      <c r="I52" s="89"/>
      <c r="J52" s="89"/>
      <c r="K52" s="89"/>
      <c r="L52" s="89"/>
      <c r="M52" s="94"/>
      <c r="N52" s="89"/>
    </row>
    <row r="53" spans="1:14" ht="15.75" x14ac:dyDescent="0.25">
      <c r="A53" s="89"/>
      <c r="B53" s="112">
        <v>6</v>
      </c>
      <c r="C53" s="106">
        <f>(C18-I13)^2</f>
        <v>2652.25</v>
      </c>
      <c r="D53" s="106">
        <f t="shared" ref="D53:F53" si="44">(D18-J13)^2</f>
        <v>3540.25</v>
      </c>
      <c r="E53" s="106">
        <f t="shared" si="44"/>
        <v>42.25</v>
      </c>
      <c r="F53" s="106">
        <f t="shared" si="44"/>
        <v>3969</v>
      </c>
      <c r="G53" s="89"/>
      <c r="H53" s="92"/>
      <c r="I53" s="89"/>
      <c r="J53" s="89"/>
      <c r="K53" s="89"/>
      <c r="L53" s="89"/>
      <c r="M53" s="94"/>
      <c r="N53" s="89"/>
    </row>
    <row r="54" spans="1:14" ht="15.75" x14ac:dyDescent="0.25">
      <c r="A54" s="89"/>
      <c r="B54" s="112">
        <v>6</v>
      </c>
      <c r="C54" s="106">
        <f>(C19-I13)^2</f>
        <v>2652.25</v>
      </c>
      <c r="D54" s="106">
        <f t="shared" ref="D54:F54" si="45">(D19-J13)^2</f>
        <v>3540.25</v>
      </c>
      <c r="E54" s="106">
        <f t="shared" si="45"/>
        <v>42.25</v>
      </c>
      <c r="F54" s="106">
        <f t="shared" si="45"/>
        <v>3969</v>
      </c>
      <c r="G54" s="89"/>
      <c r="H54" s="92"/>
      <c r="I54" s="89"/>
      <c r="J54" s="89"/>
      <c r="K54" s="89"/>
      <c r="L54" s="89"/>
      <c r="M54" s="94"/>
      <c r="N54" s="89"/>
    </row>
    <row r="55" spans="1:14" ht="15.75" x14ac:dyDescent="0.25">
      <c r="A55" s="89"/>
      <c r="B55" s="112">
        <v>7</v>
      </c>
      <c r="C55" s="106">
        <f>(C20-I14)^2</f>
        <v>3600</v>
      </c>
      <c r="D55" s="106">
        <f t="shared" ref="D55:F55" si="46">(D20-J14)^2</f>
        <v>100</v>
      </c>
      <c r="E55" s="106">
        <f t="shared" si="46"/>
        <v>6.25</v>
      </c>
      <c r="F55" s="106">
        <f t="shared" si="46"/>
        <v>812.25</v>
      </c>
      <c r="G55" s="89"/>
      <c r="H55" s="92"/>
      <c r="I55" s="89"/>
      <c r="J55" s="89"/>
      <c r="K55" s="89"/>
      <c r="L55" s="89"/>
      <c r="M55" s="94"/>
      <c r="N55" s="89"/>
    </row>
    <row r="56" spans="1:14" ht="15.75" x14ac:dyDescent="0.25">
      <c r="A56" s="89"/>
      <c r="B56" s="112">
        <v>7</v>
      </c>
      <c r="C56" s="106">
        <f>(C21-I14)^2</f>
        <v>3600</v>
      </c>
      <c r="D56" s="106">
        <f t="shared" ref="D56:F57" si="47">(D21-J14)^2</f>
        <v>100</v>
      </c>
      <c r="E56" s="106">
        <f t="shared" si="47"/>
        <v>6.25</v>
      </c>
      <c r="F56" s="106">
        <f t="shared" si="47"/>
        <v>812.25</v>
      </c>
      <c r="G56" s="89"/>
      <c r="H56" s="92"/>
      <c r="I56" s="89"/>
      <c r="J56" s="89"/>
      <c r="K56" s="89"/>
      <c r="L56" s="89"/>
      <c r="M56" s="94"/>
      <c r="N56" s="89"/>
    </row>
    <row r="57" spans="1:14" ht="15.75" x14ac:dyDescent="0.25">
      <c r="A57" s="89"/>
      <c r="B57" s="112">
        <v>8</v>
      </c>
      <c r="C57" s="106">
        <f t="shared" ref="C57" si="48">(C22-I15)^2</f>
        <v>72.25</v>
      </c>
      <c r="D57" s="106">
        <f t="shared" si="47"/>
        <v>0</v>
      </c>
      <c r="E57" s="106">
        <f t="shared" si="47"/>
        <v>6.25</v>
      </c>
      <c r="F57" s="106">
        <f t="shared" si="47"/>
        <v>3600</v>
      </c>
      <c r="G57" s="89"/>
      <c r="H57" s="92"/>
      <c r="I57" s="89"/>
      <c r="J57" s="89"/>
      <c r="K57" s="89"/>
      <c r="L57" s="89"/>
      <c r="M57" s="94"/>
      <c r="N57" s="89"/>
    </row>
    <row r="58" spans="1:14" ht="15.75" x14ac:dyDescent="0.25">
      <c r="A58" s="89"/>
      <c r="B58" s="112">
        <v>8</v>
      </c>
      <c r="C58" s="106">
        <f>(C23-I15)^2</f>
        <v>72.25</v>
      </c>
      <c r="D58" s="106">
        <f t="shared" ref="D58:F59" si="49">(D23-J15)^2</f>
        <v>0</v>
      </c>
      <c r="E58" s="106">
        <f t="shared" si="49"/>
        <v>6.25</v>
      </c>
      <c r="F58" s="106">
        <f t="shared" si="49"/>
        <v>3600</v>
      </c>
      <c r="G58" s="89"/>
      <c r="H58" s="92"/>
      <c r="I58" s="89"/>
      <c r="J58" s="89"/>
      <c r="K58" s="89"/>
      <c r="L58" s="89"/>
      <c r="M58" s="94"/>
      <c r="N58" s="89"/>
    </row>
    <row r="59" spans="1:14" ht="15.75" x14ac:dyDescent="0.25">
      <c r="A59" s="89"/>
      <c r="B59" s="112">
        <v>9</v>
      </c>
      <c r="C59" s="106">
        <f t="shared" ref="C59" si="50">(C24-I16)^2</f>
        <v>169</v>
      </c>
      <c r="D59" s="106">
        <f t="shared" si="49"/>
        <v>182.25</v>
      </c>
      <c r="E59" s="106">
        <f t="shared" si="49"/>
        <v>3600</v>
      </c>
      <c r="F59" s="106">
        <f t="shared" si="49"/>
        <v>100</v>
      </c>
      <c r="G59" s="89"/>
      <c r="H59" s="92"/>
      <c r="I59" s="89"/>
      <c r="J59" s="89"/>
      <c r="K59" s="89"/>
      <c r="L59" s="89"/>
      <c r="M59" s="94"/>
      <c r="N59" s="89"/>
    </row>
    <row r="60" spans="1:14" ht="15.75" x14ac:dyDescent="0.25">
      <c r="A60" s="89"/>
      <c r="B60" s="112">
        <v>9</v>
      </c>
      <c r="C60" s="106">
        <f>(C25-I16)^2</f>
        <v>169</v>
      </c>
      <c r="D60" s="106">
        <f t="shared" ref="D60:F61" si="51">(D25-J16)^2</f>
        <v>182.25</v>
      </c>
      <c r="E60" s="106">
        <f t="shared" si="51"/>
        <v>3600</v>
      </c>
      <c r="F60" s="106">
        <f t="shared" si="51"/>
        <v>100</v>
      </c>
      <c r="G60" s="89"/>
      <c r="H60" s="92"/>
      <c r="I60" s="89"/>
      <c r="J60" s="89"/>
      <c r="K60" s="89"/>
      <c r="L60" s="89"/>
      <c r="M60" s="94"/>
      <c r="N60" s="89"/>
    </row>
    <row r="61" spans="1:14" ht="15.75" x14ac:dyDescent="0.25">
      <c r="A61" s="89"/>
      <c r="B61" s="112">
        <v>10</v>
      </c>
      <c r="C61" s="106">
        <f t="shared" ref="C61" si="52">(C26-I17)^2</f>
        <v>144</v>
      </c>
      <c r="D61" s="106">
        <f t="shared" si="51"/>
        <v>49</v>
      </c>
      <c r="E61" s="106">
        <f t="shared" si="51"/>
        <v>4</v>
      </c>
      <c r="F61" s="106">
        <f t="shared" si="51"/>
        <v>2.25</v>
      </c>
      <c r="G61" s="89"/>
      <c r="H61" s="92"/>
      <c r="I61" s="89"/>
      <c r="J61" s="89"/>
      <c r="K61" s="89"/>
      <c r="L61" s="89"/>
      <c r="M61" s="94"/>
      <c r="N61" s="89"/>
    </row>
    <row r="62" spans="1:14" ht="15.75" x14ac:dyDescent="0.25">
      <c r="A62" s="89"/>
      <c r="B62" s="112">
        <v>10</v>
      </c>
      <c r="C62" s="106">
        <f>(C27-I17)^2</f>
        <v>144</v>
      </c>
      <c r="D62" s="106">
        <f t="shared" ref="D62:F63" si="53">(D27-J17)^2</f>
        <v>49</v>
      </c>
      <c r="E62" s="106">
        <f t="shared" si="53"/>
        <v>4</v>
      </c>
      <c r="F62" s="106">
        <f t="shared" si="53"/>
        <v>2.25</v>
      </c>
      <c r="G62" s="89"/>
      <c r="H62" s="92"/>
      <c r="I62" s="89"/>
      <c r="J62" s="89"/>
      <c r="K62" s="89"/>
      <c r="L62" s="89"/>
      <c r="M62" s="94"/>
      <c r="N62" s="89"/>
    </row>
    <row r="63" spans="1:14" ht="15.75" x14ac:dyDescent="0.25">
      <c r="A63" s="89"/>
      <c r="B63" s="112">
        <v>11</v>
      </c>
      <c r="C63" s="106">
        <f t="shared" ref="C63" si="54">(C28-I18)^2</f>
        <v>484</v>
      </c>
      <c r="D63" s="106">
        <f t="shared" si="53"/>
        <v>441</v>
      </c>
      <c r="E63" s="106">
        <f t="shared" si="53"/>
        <v>1</v>
      </c>
      <c r="F63" s="106">
        <f t="shared" si="53"/>
        <v>4830.25</v>
      </c>
      <c r="G63" s="89"/>
      <c r="H63" s="92"/>
      <c r="I63" s="89"/>
      <c r="J63" s="89"/>
      <c r="K63" s="89"/>
      <c r="L63" s="89"/>
      <c r="M63" s="94"/>
      <c r="N63" s="89"/>
    </row>
    <row r="64" spans="1:14" ht="15.75" x14ac:dyDescent="0.25">
      <c r="A64" s="89"/>
      <c r="B64" s="112">
        <v>11</v>
      </c>
      <c r="C64" s="106">
        <f>(C29-I18)^2</f>
        <v>484</v>
      </c>
      <c r="D64" s="106">
        <f t="shared" ref="D64:F65" si="55">(D29-J18)^2</f>
        <v>441</v>
      </c>
      <c r="E64" s="106">
        <f t="shared" si="55"/>
        <v>1</v>
      </c>
      <c r="F64" s="106">
        <f t="shared" si="55"/>
        <v>4830.25</v>
      </c>
      <c r="G64" s="89"/>
      <c r="H64" s="92"/>
      <c r="I64" s="89"/>
      <c r="J64" s="89"/>
      <c r="K64" s="89"/>
      <c r="L64" s="89"/>
      <c r="M64" s="94"/>
      <c r="N64" s="89"/>
    </row>
    <row r="65" spans="1:14" ht="15.75" x14ac:dyDescent="0.25">
      <c r="A65" s="89"/>
      <c r="B65" s="112">
        <v>12</v>
      </c>
      <c r="C65" s="106">
        <f t="shared" ref="C65" si="56">(C30-I19)^2</f>
        <v>132.25</v>
      </c>
      <c r="D65" s="106">
        <f t="shared" si="55"/>
        <v>72.25</v>
      </c>
      <c r="E65" s="106">
        <f t="shared" si="55"/>
        <v>1056.25</v>
      </c>
      <c r="F65" s="106">
        <f t="shared" si="55"/>
        <v>2116</v>
      </c>
      <c r="G65" s="89"/>
      <c r="H65" s="92"/>
      <c r="I65" s="89"/>
      <c r="J65" s="89"/>
      <c r="K65" s="89"/>
      <c r="L65" s="89"/>
      <c r="M65" s="94"/>
      <c r="N65" s="89"/>
    </row>
    <row r="66" spans="1:14" ht="15.75" x14ac:dyDescent="0.25">
      <c r="A66" s="89"/>
      <c r="B66" s="112">
        <v>12</v>
      </c>
      <c r="C66" s="106">
        <f>(C31-I19)^2</f>
        <v>132.25</v>
      </c>
      <c r="D66" s="106">
        <f t="shared" ref="D66:F67" si="57">(D31-J19)^2</f>
        <v>72.25</v>
      </c>
      <c r="E66" s="106">
        <f t="shared" si="57"/>
        <v>1056.25</v>
      </c>
      <c r="F66" s="106">
        <f t="shared" si="57"/>
        <v>2116</v>
      </c>
      <c r="G66" s="89"/>
      <c r="H66" s="92"/>
      <c r="I66" s="89"/>
      <c r="J66" s="89"/>
      <c r="K66" s="89"/>
      <c r="L66" s="89"/>
      <c r="M66" s="94"/>
      <c r="N66" s="89"/>
    </row>
    <row r="67" spans="1:14" ht="15.75" x14ac:dyDescent="0.25">
      <c r="A67" s="89"/>
      <c r="B67" s="112">
        <v>13</v>
      </c>
      <c r="C67" s="106">
        <f t="shared" ref="C67" si="58">(C32-I20)^2</f>
        <v>9</v>
      </c>
      <c r="D67" s="106">
        <f t="shared" si="57"/>
        <v>64</v>
      </c>
      <c r="E67" s="106">
        <f t="shared" si="57"/>
        <v>1225</v>
      </c>
      <c r="F67" s="106">
        <f t="shared" si="57"/>
        <v>256</v>
      </c>
      <c r="G67" s="89"/>
      <c r="H67" s="92"/>
      <c r="I67" s="89"/>
      <c r="J67" s="89"/>
      <c r="K67" s="89"/>
      <c r="L67" s="89"/>
      <c r="M67" s="94"/>
      <c r="N67" s="89"/>
    </row>
    <row r="68" spans="1:14" ht="15.75" x14ac:dyDescent="0.25">
      <c r="A68" s="89"/>
      <c r="B68" s="112">
        <v>13</v>
      </c>
      <c r="C68" s="106">
        <f>(C33-I20)^2</f>
        <v>9</v>
      </c>
      <c r="D68" s="106">
        <f t="shared" ref="D68:F69" si="59">(D33-J20)^2</f>
        <v>64</v>
      </c>
      <c r="E68" s="106">
        <f t="shared" si="59"/>
        <v>1225</v>
      </c>
      <c r="F68" s="106">
        <f t="shared" si="59"/>
        <v>256</v>
      </c>
      <c r="G68" s="89"/>
      <c r="H68" s="92"/>
      <c r="I68" s="89"/>
      <c r="J68" s="89"/>
      <c r="K68" s="89"/>
      <c r="L68" s="89"/>
      <c r="M68" s="94"/>
      <c r="N68" s="89"/>
    </row>
    <row r="69" spans="1:14" ht="15.75" x14ac:dyDescent="0.25">
      <c r="A69" s="89"/>
      <c r="B69" s="112">
        <v>14</v>
      </c>
      <c r="C69" s="106">
        <f t="shared" ref="C69" si="60">(C34-I21)^2</f>
        <v>552.25</v>
      </c>
      <c r="D69" s="106">
        <f t="shared" si="59"/>
        <v>9</v>
      </c>
      <c r="E69" s="106">
        <f t="shared" si="59"/>
        <v>49</v>
      </c>
      <c r="F69" s="106">
        <f t="shared" si="59"/>
        <v>20.25</v>
      </c>
      <c r="G69" s="89"/>
      <c r="H69" s="92"/>
      <c r="I69" s="89"/>
      <c r="J69" s="89"/>
      <c r="K69" s="89"/>
      <c r="L69" s="89"/>
      <c r="M69" s="94"/>
      <c r="N69" s="89"/>
    </row>
    <row r="70" spans="1:14" ht="15.75" x14ac:dyDescent="0.25">
      <c r="A70" s="89"/>
      <c r="B70" s="112">
        <v>14</v>
      </c>
      <c r="C70" s="106">
        <f>(C35-I21)^2</f>
        <v>552.25</v>
      </c>
      <c r="D70" s="106">
        <f t="shared" ref="D70:F71" si="61">(D35-J21)^2</f>
        <v>9</v>
      </c>
      <c r="E70" s="106">
        <f t="shared" si="61"/>
        <v>49</v>
      </c>
      <c r="F70" s="106">
        <f t="shared" si="61"/>
        <v>20.25</v>
      </c>
      <c r="G70" s="89"/>
      <c r="H70" s="92"/>
      <c r="I70" s="89"/>
      <c r="J70" s="89"/>
      <c r="K70" s="89"/>
      <c r="L70" s="89"/>
      <c r="M70" s="94"/>
      <c r="N70" s="89"/>
    </row>
    <row r="71" spans="1:14" ht="15.75" x14ac:dyDescent="0.25">
      <c r="A71" s="89"/>
      <c r="B71" s="112">
        <v>15</v>
      </c>
      <c r="C71" s="106">
        <f t="shared" ref="C71" si="62">(C36-I22)^2</f>
        <v>4</v>
      </c>
      <c r="D71" s="106">
        <f t="shared" si="61"/>
        <v>36</v>
      </c>
      <c r="E71" s="106">
        <f t="shared" si="61"/>
        <v>156.25</v>
      </c>
      <c r="F71" s="106">
        <f t="shared" si="61"/>
        <v>25</v>
      </c>
      <c r="G71" s="89"/>
      <c r="H71" s="92"/>
      <c r="I71" s="89"/>
      <c r="J71" s="89"/>
      <c r="K71" s="89"/>
      <c r="L71" s="89"/>
      <c r="M71" s="94"/>
      <c r="N71" s="89"/>
    </row>
    <row r="72" spans="1:14" ht="15.75" x14ac:dyDescent="0.25">
      <c r="A72" s="89"/>
      <c r="B72" s="112">
        <v>15</v>
      </c>
      <c r="C72" s="106">
        <f>(C37-I22)^2</f>
        <v>4</v>
      </c>
      <c r="D72" s="106">
        <f t="shared" ref="D72:F72" si="63">(D37-J22)^2</f>
        <v>36</v>
      </c>
      <c r="E72" s="106">
        <f t="shared" si="63"/>
        <v>156.25</v>
      </c>
      <c r="F72" s="106">
        <f t="shared" si="63"/>
        <v>25</v>
      </c>
      <c r="G72" s="89"/>
      <c r="H72" s="92"/>
      <c r="I72" s="89"/>
      <c r="J72" s="89"/>
      <c r="K72" s="89"/>
      <c r="L72" s="89"/>
      <c r="M72" s="94"/>
      <c r="N72" s="89"/>
    </row>
    <row r="73" spans="1:14" ht="15.75" x14ac:dyDescent="0.25">
      <c r="A73" s="89"/>
      <c r="B73" s="112">
        <v>16</v>
      </c>
      <c r="C73" s="106">
        <f>(C38-I23)^2</f>
        <v>324</v>
      </c>
      <c r="D73" s="106">
        <f t="shared" ref="D73:F73" si="64">(D38-J23)^2</f>
        <v>6.25</v>
      </c>
      <c r="E73" s="106">
        <f t="shared" si="64"/>
        <v>4</v>
      </c>
      <c r="F73" s="106">
        <f t="shared" si="64"/>
        <v>1190.25</v>
      </c>
      <c r="G73" s="89"/>
      <c r="H73" s="92"/>
      <c r="I73" s="89"/>
      <c r="J73" s="89"/>
      <c r="K73" s="89"/>
      <c r="L73" s="89"/>
      <c r="M73" s="94"/>
      <c r="N73" s="89"/>
    </row>
    <row r="74" spans="1:14" ht="15.75" x14ac:dyDescent="0.25">
      <c r="A74" s="89"/>
      <c r="B74" s="112">
        <v>16</v>
      </c>
      <c r="C74" s="106">
        <f>(C39-I23)^2</f>
        <v>324</v>
      </c>
      <c r="D74" s="106">
        <f t="shared" ref="D74:F74" si="65">(D39-J23)^2</f>
        <v>6.25</v>
      </c>
      <c r="E74" s="106">
        <f t="shared" si="65"/>
        <v>4</v>
      </c>
      <c r="F74" s="106">
        <f t="shared" si="65"/>
        <v>1190.25</v>
      </c>
      <c r="G74" s="89"/>
      <c r="H74" s="92"/>
      <c r="I74" s="89"/>
      <c r="J74" s="89"/>
      <c r="K74" s="89"/>
      <c r="L74" s="89"/>
      <c r="M74" s="94"/>
      <c r="N74" s="89"/>
    </row>
    <row r="75" spans="1:14" x14ac:dyDescent="0.25">
      <c r="C75" s="11"/>
      <c r="D75" s="11"/>
      <c r="E75" s="11"/>
      <c r="F75" s="11"/>
      <c r="G75" s="10"/>
    </row>
  </sheetData>
  <mergeCells count="9">
    <mergeCell ref="B41:B42"/>
    <mergeCell ref="C41:F41"/>
    <mergeCell ref="B6:B7"/>
    <mergeCell ref="C6:F6"/>
    <mergeCell ref="H6:H7"/>
    <mergeCell ref="N6:N7"/>
    <mergeCell ref="I6:M6"/>
    <mergeCell ref="I26:L26"/>
    <mergeCell ref="H26:H2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7"/>
  <sheetViews>
    <sheetView topLeftCell="D1" workbookViewId="0">
      <selection activeCell="V11" sqref="V11"/>
    </sheetView>
  </sheetViews>
  <sheetFormatPr defaultRowHeight="15" x14ac:dyDescent="0.25"/>
  <cols>
    <col min="1" max="1" width="4.140625" customWidth="1"/>
    <col min="8" max="8" width="5.28515625" customWidth="1"/>
    <col min="9" max="9" width="7" customWidth="1"/>
    <col min="16" max="16" width="13.28515625" style="2" customWidth="1"/>
    <col min="21" max="21" width="10" customWidth="1"/>
    <col min="22" max="22" width="11.42578125" customWidth="1"/>
  </cols>
  <sheetData>
    <row r="1" spans="2:23" ht="30" customHeight="1" thickBot="1" x14ac:dyDescent="0.3"/>
    <row r="2" spans="2:23" ht="28.5" customHeight="1" x14ac:dyDescent="0.25">
      <c r="B2" s="16"/>
      <c r="C2" s="17"/>
      <c r="D2" s="78" t="s">
        <v>18</v>
      </c>
      <c r="E2" s="79"/>
      <c r="F2" s="80" t="s">
        <v>19</v>
      </c>
      <c r="G2" s="81"/>
      <c r="H2" s="54"/>
      <c r="I2" s="55"/>
      <c r="J2" s="56"/>
      <c r="K2" s="56"/>
      <c r="L2" s="56"/>
      <c r="M2" s="56"/>
      <c r="N2" s="56"/>
      <c r="O2" s="56"/>
      <c r="P2" s="57"/>
      <c r="Q2" s="56"/>
      <c r="R2" s="56"/>
      <c r="S2" s="56"/>
      <c r="T2" s="56"/>
      <c r="U2" s="56"/>
      <c r="V2" s="56"/>
      <c r="W2" s="58"/>
    </row>
    <row r="3" spans="2:23" ht="24.75" customHeight="1" x14ac:dyDescent="0.25">
      <c r="B3" s="18"/>
      <c r="C3" s="19">
        <v>4</v>
      </c>
      <c r="D3" s="22" t="s">
        <v>20</v>
      </c>
      <c r="E3" s="35">
        <f>(C7-C8-(C8-C9)/(C3-1))/(C7+C3*(C8-C9)+(C3*C5-1)*C9)</f>
        <v>0.51221894502276466</v>
      </c>
      <c r="F3" s="28" t="s">
        <v>21</v>
      </c>
      <c r="G3" s="36">
        <f>(C7+C3*C8-(C3+1)*C9)/(C7+C3*C8+(C3*C5-C3-1)*C9)</f>
        <v>0.65508407253575518</v>
      </c>
      <c r="H3" s="8"/>
      <c r="I3" s="59"/>
      <c r="J3" s="50" t="s">
        <v>4</v>
      </c>
      <c r="K3" s="50" t="s">
        <v>11</v>
      </c>
      <c r="L3" s="50" t="s">
        <v>12</v>
      </c>
      <c r="M3" s="50" t="s">
        <v>13</v>
      </c>
      <c r="N3" s="50" t="s">
        <v>14</v>
      </c>
      <c r="P3" s="50" t="s">
        <v>4</v>
      </c>
      <c r="Q3" s="50" t="s">
        <v>11</v>
      </c>
      <c r="R3" s="50" t="s">
        <v>12</v>
      </c>
      <c r="S3" s="50" t="s">
        <v>13</v>
      </c>
      <c r="T3" s="50" t="s">
        <v>14</v>
      </c>
      <c r="U3" s="131"/>
      <c r="V3" s="53"/>
      <c r="W3" s="61"/>
    </row>
    <row r="4" spans="2:23" x14ac:dyDescent="0.25">
      <c r="B4" s="18"/>
      <c r="C4" s="19">
        <v>5</v>
      </c>
      <c r="D4" s="24" t="s">
        <v>28</v>
      </c>
      <c r="E4" s="35">
        <f>(C7-E10*C8)/(C7+E10*((C3-1)*C8+(C6/C4-C3)*C9))</f>
        <v>0.21585490530023058</v>
      </c>
      <c r="F4" s="30" t="s">
        <v>28</v>
      </c>
      <c r="G4" s="36">
        <f>(C7+C3*C8-(C3+1)*G11*C9)/(C7+C3*C8+(C6/C4-C3-1)*G11*C9)</f>
        <v>0.31787174394261475</v>
      </c>
      <c r="H4" s="8"/>
      <c r="I4" s="59"/>
      <c r="J4" s="51">
        <v>1</v>
      </c>
      <c r="K4" s="52">
        <v>6</v>
      </c>
      <c r="L4" s="52">
        <v>1</v>
      </c>
      <c r="M4" s="52">
        <v>3</v>
      </c>
      <c r="N4" s="52">
        <v>2</v>
      </c>
      <c r="P4" s="63">
        <v>1</v>
      </c>
      <c r="Q4" s="53">
        <f>AVERAGE(K4:K6)</f>
        <v>5.5</v>
      </c>
      <c r="R4" s="53">
        <f>AVERAGE(L4:L6)</f>
        <v>2.3333333333333335</v>
      </c>
      <c r="S4" s="53">
        <f>AVERAGE(M4:M6)</f>
        <v>3.8333333333333335</v>
      </c>
      <c r="T4" s="53">
        <f>AVERAGE(N4:N6)</f>
        <v>3.3333333333333335</v>
      </c>
      <c r="U4" s="53">
        <f>AVERAGE(Q4:T4)</f>
        <v>3.7500000000000004</v>
      </c>
      <c r="V4" s="53">
        <f>(U4-$U$9)^2</f>
        <v>2.6732250000000035</v>
      </c>
      <c r="W4" s="61"/>
    </row>
    <row r="5" spans="2:23" x14ac:dyDescent="0.25">
      <c r="B5" s="18"/>
      <c r="C5" s="19">
        <v>3</v>
      </c>
      <c r="D5" s="24" t="s">
        <v>29</v>
      </c>
      <c r="E5" s="35">
        <f>(C7-E11*C8)/(C7+E11*((C3-1)*C8+(C6/C4-C3)*C9))</f>
        <v>0.91414571587233884</v>
      </c>
      <c r="F5" s="30" t="s">
        <v>29</v>
      </c>
      <c r="G5" s="36">
        <f>(C7+C3*C8-(C3+1)*G10*C9)/(C7+C3*C8+(C6/C4-C3-1)*G10*C9)</f>
        <v>0.90532420985613649</v>
      </c>
      <c r="H5" s="8"/>
      <c r="I5" s="59"/>
      <c r="J5" s="51">
        <v>1</v>
      </c>
      <c r="K5" s="52">
        <v>6.5</v>
      </c>
      <c r="L5" s="52">
        <v>3</v>
      </c>
      <c r="M5" s="52">
        <v>3</v>
      </c>
      <c r="N5" s="52">
        <v>4</v>
      </c>
      <c r="P5" s="63">
        <v>2</v>
      </c>
      <c r="Q5" s="53">
        <f>AVERAGE(K13:K15)</f>
        <v>8</v>
      </c>
      <c r="R5" s="53">
        <f>AVERAGE(L13:L15)</f>
        <v>1.6666666666666667</v>
      </c>
      <c r="S5" s="53">
        <f>AVERAGE(M13:M15)</f>
        <v>3</v>
      </c>
      <c r="T5" s="53">
        <f>AVERAGE(N13:N15)</f>
        <v>7</v>
      </c>
      <c r="U5" s="53">
        <f t="shared" ref="U5:U8" si="0">AVERAGE(Q5:T5)</f>
        <v>4.9166666666666661</v>
      </c>
      <c r="V5" s="53">
        <f>(U5-$U$9)^2</f>
        <v>0.21933611111111312</v>
      </c>
      <c r="W5" s="61"/>
    </row>
    <row r="6" spans="2:23" x14ac:dyDescent="0.25">
      <c r="B6" s="18"/>
      <c r="C6" s="19">
        <f>COUNT(K4:N18)</f>
        <v>60</v>
      </c>
      <c r="D6" s="22"/>
      <c r="E6" s="23"/>
      <c r="F6" s="28"/>
      <c r="G6" s="29"/>
      <c r="I6" s="59"/>
      <c r="J6" s="51">
        <v>1</v>
      </c>
      <c r="K6" s="52">
        <v>4</v>
      </c>
      <c r="L6" s="52">
        <v>3</v>
      </c>
      <c r="M6" s="52">
        <v>5.5</v>
      </c>
      <c r="N6" s="52">
        <v>4</v>
      </c>
      <c r="P6" s="63">
        <v>3</v>
      </c>
      <c r="Q6" s="53">
        <f>AVERAGE(K16:K18)</f>
        <v>8.3333333333333339</v>
      </c>
      <c r="R6" s="53">
        <f>AVERAGE(L16:L18)</f>
        <v>4.333333333333333</v>
      </c>
      <c r="S6" s="53">
        <f>AVERAGE(M16:M18)</f>
        <v>6</v>
      </c>
      <c r="T6" s="53">
        <f>AVERAGE(N16:N18)</f>
        <v>7.333333333333333</v>
      </c>
      <c r="U6" s="53">
        <f t="shared" si="0"/>
        <v>6.5</v>
      </c>
      <c r="V6" s="53">
        <f>(U6-$U$9)^2</f>
        <v>1.2432249999999965</v>
      </c>
      <c r="W6" s="61"/>
    </row>
    <row r="7" spans="2:23" x14ac:dyDescent="0.25">
      <c r="B7" s="20" t="s">
        <v>15</v>
      </c>
      <c r="C7" s="34">
        <f>SUM(V4:V8)*C3*C5/(C4-1)</f>
        <v>23.310166666666657</v>
      </c>
      <c r="D7" s="24" t="s">
        <v>25</v>
      </c>
      <c r="E7" s="23">
        <f>(1+(C3-1)*E3)/(1-E3)</f>
        <v>5.200400485391298</v>
      </c>
      <c r="F7" s="30" t="s">
        <v>25</v>
      </c>
      <c r="G7" s="29">
        <f>1/(C3+1+C6*G3/(C4*(1-G3)))</f>
        <v>3.5982759658978493E-2</v>
      </c>
      <c r="I7" s="59"/>
      <c r="J7" s="51">
        <v>5</v>
      </c>
      <c r="K7" s="52">
        <v>10</v>
      </c>
      <c r="L7" s="52">
        <v>5</v>
      </c>
      <c r="M7" s="52">
        <v>6</v>
      </c>
      <c r="N7" s="52">
        <v>9</v>
      </c>
      <c r="P7" s="63">
        <v>4</v>
      </c>
      <c r="Q7" s="53">
        <f>AVERAGE(K10:K12)</f>
        <v>7</v>
      </c>
      <c r="R7" s="53">
        <f>AVERAGE(L10:L12)</f>
        <v>1.8333333333333333</v>
      </c>
      <c r="S7" s="53">
        <f>AVERAGE(M10:M12)</f>
        <v>3.6666666666666665</v>
      </c>
      <c r="T7" s="53">
        <f>AVERAGE(N10:N12)</f>
        <v>6</v>
      </c>
      <c r="U7" s="53">
        <f t="shared" si="0"/>
        <v>4.625</v>
      </c>
      <c r="V7" s="53">
        <f>(U7-$U$9)^2</f>
        <v>0.57760000000000233</v>
      </c>
      <c r="W7" s="61"/>
    </row>
    <row r="8" spans="2:23" x14ac:dyDescent="0.25">
      <c r="B8" s="20" t="s">
        <v>16</v>
      </c>
      <c r="C8" s="34">
        <f>SUM(Q15:T19)*C5/((C3-1)*(C4-1))</f>
        <v>2.2446111111111109</v>
      </c>
      <c r="D8" s="24" t="s">
        <v>26</v>
      </c>
      <c r="E8" s="23">
        <f>(C6/C4-C3)*E3/(1-E3)</f>
        <v>8.4008009707825959</v>
      </c>
      <c r="F8" s="30" t="s">
        <v>26</v>
      </c>
      <c r="G8" s="29">
        <f>C3/(C3+1+C6*G3/(C4*(1-G3)))</f>
        <v>0.14393103863591397</v>
      </c>
      <c r="I8" s="59"/>
      <c r="J8" s="51">
        <v>5</v>
      </c>
      <c r="K8" s="52">
        <v>9</v>
      </c>
      <c r="L8" s="52">
        <v>4.5</v>
      </c>
      <c r="M8" s="52">
        <v>5</v>
      </c>
      <c r="N8" s="52">
        <v>9</v>
      </c>
      <c r="P8" s="63">
        <v>5</v>
      </c>
      <c r="Q8" s="53">
        <f>AVERAGE(K7:K9)</f>
        <v>9.5</v>
      </c>
      <c r="R8" s="53">
        <f>AVERAGE(L7:L9)</f>
        <v>4.5</v>
      </c>
      <c r="S8" s="53">
        <f>AVERAGE(M7:M9)</f>
        <v>5.8666666666666671</v>
      </c>
      <c r="T8" s="53">
        <f>AVERAGE(N7:N9)</f>
        <v>8.6666666666666661</v>
      </c>
      <c r="U8" s="53">
        <f t="shared" si="0"/>
        <v>7.1333333333333329</v>
      </c>
      <c r="V8" s="53">
        <f>(U8-$U$9)^2</f>
        <v>3.0566694444444371</v>
      </c>
      <c r="W8" s="61"/>
    </row>
    <row r="9" spans="2:23" x14ac:dyDescent="0.25">
      <c r="B9" s="20" t="s">
        <v>17</v>
      </c>
      <c r="C9" s="34">
        <f>SUM(K22:N36)/(C3*C4*(C5-1))</f>
        <v>1.1618333333333333</v>
      </c>
      <c r="D9" s="25" t="s">
        <v>27</v>
      </c>
      <c r="E9" s="23">
        <f>(E7*C8+E8*C9)^2/((E7*C8)^2/((C3-1)*(C4-1))+(E8*C9)^2/(C6-C3*C4))</f>
        <v>33.443016260068198</v>
      </c>
      <c r="F9" s="31" t="s">
        <v>27</v>
      </c>
      <c r="G9" s="29">
        <f>(G7*C7+G8*C8)^2/((G7*C7)^2/(C4-1)+(G8*C8)^2/((C3-1)*(C4-1)))</f>
        <v>7.3131601629134373</v>
      </c>
      <c r="I9" s="59"/>
      <c r="J9" s="51">
        <v>5</v>
      </c>
      <c r="K9" s="52">
        <v>9.5</v>
      </c>
      <c r="L9" s="52">
        <v>4</v>
      </c>
      <c r="M9" s="52">
        <v>6.6</v>
      </c>
      <c r="N9" s="52">
        <v>8</v>
      </c>
      <c r="P9" s="53"/>
      <c r="Q9" s="53">
        <f>AVERAGE(Q4:Q8)</f>
        <v>7.666666666666667</v>
      </c>
      <c r="R9" s="53">
        <f t="shared" ref="R9:T9" si="1">AVERAGE(R4:R8)</f>
        <v>2.9333333333333331</v>
      </c>
      <c r="S9" s="53">
        <f t="shared" si="1"/>
        <v>4.4733333333333336</v>
      </c>
      <c r="T9" s="53">
        <f t="shared" si="1"/>
        <v>6.4666666666666668</v>
      </c>
      <c r="U9" s="131">
        <f>AVERAGE(Q4:T8)</f>
        <v>5.3850000000000016</v>
      </c>
      <c r="V9" s="53"/>
      <c r="W9" s="61"/>
    </row>
    <row r="10" spans="2:23" ht="23.25" customHeight="1" x14ac:dyDescent="0.25">
      <c r="B10" s="18" t="s">
        <v>22</v>
      </c>
      <c r="C10" s="19">
        <v>0.95</v>
      </c>
      <c r="D10" s="132" t="s">
        <v>23</v>
      </c>
      <c r="E10" s="133">
        <f>_xlfn.F.INV(1-C11/2,C4-1,E9)</f>
        <v>3.2042668811973289</v>
      </c>
      <c r="F10" s="134" t="s">
        <v>23</v>
      </c>
      <c r="G10" s="135">
        <f>_xlfn.F.INV(C11/2,G9,C6-C3*C4)</f>
        <v>0.23207908366935243</v>
      </c>
      <c r="H10" s="1"/>
      <c r="I10" s="67"/>
      <c r="J10" s="68">
        <v>4</v>
      </c>
      <c r="K10" s="69">
        <v>6</v>
      </c>
      <c r="L10" s="69">
        <v>2</v>
      </c>
      <c r="M10" s="69">
        <v>4</v>
      </c>
      <c r="N10" s="69">
        <v>7</v>
      </c>
      <c r="O10" s="1"/>
      <c r="P10" s="136"/>
      <c r="Q10" s="71">
        <f>(Q9-$U$9)^2</f>
        <v>5.2060027777777718</v>
      </c>
      <c r="R10" s="71">
        <f t="shared" ref="R10:T10" si="2">(R9-$U$9)^2</f>
        <v>6.0106694444444528</v>
      </c>
      <c r="S10" s="71">
        <f t="shared" si="2"/>
        <v>0.83113611111111352</v>
      </c>
      <c r="T10" s="71">
        <f t="shared" si="2"/>
        <v>1.1700027777777746</v>
      </c>
      <c r="W10" s="61"/>
    </row>
    <row r="11" spans="2:23" ht="18" customHeight="1" thickBot="1" x14ac:dyDescent="0.3">
      <c r="B11" s="18"/>
      <c r="C11" s="74">
        <f>1-C10</f>
        <v>5.0000000000000044E-2</v>
      </c>
      <c r="D11" s="26" t="s">
        <v>24</v>
      </c>
      <c r="E11" s="27">
        <f>_xlfn.F.INV(C11/2,C4-1,E9)</f>
        <v>0.11843985199893653</v>
      </c>
      <c r="F11" s="32" t="s">
        <v>24</v>
      </c>
      <c r="G11" s="33">
        <f>_xlfn.F.INV(1-C11/2,G9,C6-C3*C4)</f>
        <v>2.6237809632671794</v>
      </c>
      <c r="I11" s="59"/>
      <c r="J11" s="51">
        <v>4</v>
      </c>
      <c r="K11" s="52">
        <v>7</v>
      </c>
      <c r="L11" s="52">
        <v>1</v>
      </c>
      <c r="M11" s="52">
        <v>3</v>
      </c>
      <c r="N11" s="52">
        <v>6</v>
      </c>
      <c r="W11" s="61"/>
    </row>
    <row r="12" spans="2:23" ht="15.75" thickBot="1" x14ac:dyDescent="0.3">
      <c r="B12" s="75" t="s">
        <v>32</v>
      </c>
      <c r="C12" s="21">
        <f>C4*C5*SUM(Q10:T10)/(C3-1)</f>
        <v>66.089055555555575</v>
      </c>
      <c r="I12" s="59"/>
      <c r="J12" s="51">
        <v>4</v>
      </c>
      <c r="K12" s="52">
        <v>8</v>
      </c>
      <c r="L12" s="52">
        <v>2.5</v>
      </c>
      <c r="M12" s="52">
        <v>4</v>
      </c>
      <c r="N12" s="52">
        <v>5</v>
      </c>
      <c r="W12" s="61"/>
    </row>
    <row r="13" spans="2:23" s="1" customFormat="1" ht="21.75" customHeight="1" x14ac:dyDescent="0.25">
      <c r="B13" s="76" t="s">
        <v>34</v>
      </c>
      <c r="C13" s="77">
        <f>C12/C8</f>
        <v>29.443432418384784</v>
      </c>
      <c r="I13" s="67"/>
      <c r="J13" s="68">
        <v>2</v>
      </c>
      <c r="K13" s="69">
        <v>9</v>
      </c>
      <c r="L13" s="69">
        <v>2</v>
      </c>
      <c r="M13" s="69">
        <v>5</v>
      </c>
      <c r="N13" s="69">
        <v>8</v>
      </c>
      <c r="P13" s="70"/>
      <c r="Q13" s="71"/>
      <c r="R13" s="71"/>
      <c r="S13" s="71"/>
      <c r="T13" s="72"/>
      <c r="W13" s="73"/>
    </row>
    <row r="14" spans="2:23" ht="15.75" thickBot="1" x14ac:dyDescent="0.3">
      <c r="B14" s="75" t="s">
        <v>33</v>
      </c>
      <c r="C14" s="21">
        <f>_xlfn.F.INV(1-C11,(C3-1),(C3-1)*(C4-1))</f>
        <v>3.4902948194976031</v>
      </c>
      <c r="I14" s="59"/>
      <c r="J14" s="51">
        <v>2</v>
      </c>
      <c r="K14" s="52">
        <v>7</v>
      </c>
      <c r="L14" s="52">
        <v>1</v>
      </c>
      <c r="M14" s="52">
        <v>2</v>
      </c>
      <c r="N14" s="52">
        <v>6</v>
      </c>
      <c r="P14" s="65" t="s">
        <v>4</v>
      </c>
      <c r="Q14" s="50" t="s">
        <v>11</v>
      </c>
      <c r="R14" s="50" t="s">
        <v>12</v>
      </c>
      <c r="S14" s="50" t="s">
        <v>13</v>
      </c>
      <c r="T14" s="66" t="s">
        <v>14</v>
      </c>
      <c r="W14" s="61"/>
    </row>
    <row r="15" spans="2:23" x14ac:dyDescent="0.25">
      <c r="I15" s="59"/>
      <c r="J15" s="51">
        <v>2</v>
      </c>
      <c r="K15" s="52">
        <v>8</v>
      </c>
      <c r="L15" s="52">
        <v>2</v>
      </c>
      <c r="M15" s="52">
        <v>2</v>
      </c>
      <c r="N15" s="52">
        <v>7</v>
      </c>
      <c r="P15" s="45">
        <v>1</v>
      </c>
      <c r="Q15" s="53">
        <f t="shared" ref="Q15:T19" si="3">(Q4-$U4-Q$9+$U$9)^2</f>
        <v>0.28266944444444403</v>
      </c>
      <c r="R15" s="53">
        <f t="shared" si="3"/>
        <v>1.0712250000000039</v>
      </c>
      <c r="S15" s="53">
        <f t="shared" si="3"/>
        <v>0.99002500000000193</v>
      </c>
      <c r="T15" s="64">
        <f t="shared" si="3"/>
        <v>2.2450027777777741</v>
      </c>
      <c r="W15" s="61"/>
    </row>
    <row r="16" spans="2:23" x14ac:dyDescent="0.25">
      <c r="I16" s="59"/>
      <c r="J16" s="51">
        <v>3</v>
      </c>
      <c r="K16" s="52">
        <v>10</v>
      </c>
      <c r="L16" s="52">
        <v>5</v>
      </c>
      <c r="M16" s="52">
        <v>6</v>
      </c>
      <c r="N16" s="52">
        <v>9</v>
      </c>
      <c r="P16" s="45">
        <v>2</v>
      </c>
      <c r="Q16" s="53">
        <f t="shared" si="3"/>
        <v>0.6426694444444474</v>
      </c>
      <c r="R16" s="53">
        <f t="shared" si="3"/>
        <v>0.63733611111110611</v>
      </c>
      <c r="S16" s="53">
        <f t="shared" si="3"/>
        <v>1.0100249999999962</v>
      </c>
      <c r="T16" s="64">
        <f t="shared" si="3"/>
        <v>1.0033361111111152</v>
      </c>
      <c r="W16" s="61"/>
    </row>
    <row r="17" spans="9:23" x14ac:dyDescent="0.25">
      <c r="I17" s="59"/>
      <c r="J17" s="51">
        <v>3</v>
      </c>
      <c r="K17" s="52">
        <v>7</v>
      </c>
      <c r="L17" s="52">
        <v>4</v>
      </c>
      <c r="M17" s="52">
        <v>6</v>
      </c>
      <c r="N17" s="52">
        <v>5</v>
      </c>
      <c r="P17" s="45">
        <v>3</v>
      </c>
      <c r="Q17" s="53">
        <f t="shared" si="3"/>
        <v>0.20100277777777611</v>
      </c>
      <c r="R17" s="53">
        <f t="shared" si="3"/>
        <v>8.1225000000001088E-2</v>
      </c>
      <c r="S17" s="53">
        <f t="shared" si="3"/>
        <v>0.16946944444444551</v>
      </c>
      <c r="T17" s="64">
        <f t="shared" si="3"/>
        <v>6.1669444444443874E-2</v>
      </c>
      <c r="W17" s="61"/>
    </row>
    <row r="18" spans="9:23" x14ac:dyDescent="0.25">
      <c r="I18" s="59"/>
      <c r="J18" s="51">
        <v>3</v>
      </c>
      <c r="K18" s="52">
        <v>8</v>
      </c>
      <c r="L18" s="52">
        <v>4</v>
      </c>
      <c r="M18" s="52">
        <v>6</v>
      </c>
      <c r="N18" s="52">
        <v>8</v>
      </c>
      <c r="P18" s="45">
        <v>4</v>
      </c>
      <c r="Q18" s="53">
        <f t="shared" si="3"/>
        <v>8.7111111111113481E-3</v>
      </c>
      <c r="R18" s="53">
        <f t="shared" si="3"/>
        <v>0.11559999999999869</v>
      </c>
      <c r="S18" s="53">
        <f t="shared" si="3"/>
        <v>2.1777777777776297E-3</v>
      </c>
      <c r="T18" s="64">
        <f t="shared" si="3"/>
        <v>8.6044444444445298E-2</v>
      </c>
      <c r="W18" s="61"/>
    </row>
    <row r="19" spans="9:23" x14ac:dyDescent="0.25">
      <c r="I19" s="59"/>
      <c r="P19" s="45">
        <v>5</v>
      </c>
      <c r="Q19" s="53">
        <f t="shared" si="3"/>
        <v>7.2250000000002963E-3</v>
      </c>
      <c r="R19" s="53">
        <f t="shared" si="3"/>
        <v>3.3002777777777124E-2</v>
      </c>
      <c r="S19" s="53">
        <f t="shared" si="3"/>
        <v>0.12602499999999842</v>
      </c>
      <c r="T19" s="64">
        <f t="shared" si="3"/>
        <v>0.20400277777777898</v>
      </c>
      <c r="W19" s="61"/>
    </row>
    <row r="20" spans="9:23" ht="32.25" customHeight="1" x14ac:dyDescent="0.25">
      <c r="I20" s="59"/>
      <c r="W20" s="61"/>
    </row>
    <row r="21" spans="9:23" x14ac:dyDescent="0.25">
      <c r="I21" s="59"/>
      <c r="J21" s="50" t="s">
        <v>4</v>
      </c>
      <c r="K21" s="50" t="s">
        <v>11</v>
      </c>
      <c r="L21" s="50" t="s">
        <v>12</v>
      </c>
      <c r="M21" s="50" t="s">
        <v>13</v>
      </c>
      <c r="N21" s="50" t="s">
        <v>14</v>
      </c>
      <c r="W21" s="61"/>
    </row>
    <row r="22" spans="9:23" x14ac:dyDescent="0.25">
      <c r="I22" s="59"/>
      <c r="J22" s="51">
        <v>1</v>
      </c>
      <c r="K22" s="53">
        <f>(K4-Q4)^2</f>
        <v>0.25</v>
      </c>
      <c r="L22" s="53">
        <f t="shared" ref="L22:N22" si="4">(L4-R4)^2</f>
        <v>1.7777777777777781</v>
      </c>
      <c r="M22" s="53">
        <f t="shared" si="4"/>
        <v>0.69444444444444464</v>
      </c>
      <c r="N22" s="53">
        <f t="shared" si="4"/>
        <v>1.7777777777777781</v>
      </c>
      <c r="W22" s="61"/>
    </row>
    <row r="23" spans="9:23" x14ac:dyDescent="0.25">
      <c r="I23" s="59"/>
      <c r="J23" s="51">
        <v>1</v>
      </c>
      <c r="K23" s="53">
        <f>(K5-Q4)^2</f>
        <v>1</v>
      </c>
      <c r="L23" s="53">
        <f t="shared" ref="L23:N23" si="5">(L5-R4)^2</f>
        <v>0.44444444444444425</v>
      </c>
      <c r="M23" s="53">
        <f t="shared" si="5"/>
        <v>0.69444444444444464</v>
      </c>
      <c r="N23" s="53">
        <f t="shared" si="5"/>
        <v>0.44444444444444425</v>
      </c>
      <c r="W23" s="61"/>
    </row>
    <row r="24" spans="9:23" x14ac:dyDescent="0.25">
      <c r="I24" s="59"/>
      <c r="J24" s="51">
        <v>1</v>
      </c>
      <c r="K24" s="53">
        <f>(K6-Q4)^2</f>
        <v>2.25</v>
      </c>
      <c r="L24" s="53">
        <f t="shared" ref="L24:N24" si="6">(L6-R4)^2</f>
        <v>0.44444444444444425</v>
      </c>
      <c r="M24" s="53">
        <f t="shared" si="6"/>
        <v>2.7777777777777772</v>
      </c>
      <c r="N24" s="53">
        <f t="shared" si="6"/>
        <v>0.44444444444444425</v>
      </c>
      <c r="W24" s="61"/>
    </row>
    <row r="25" spans="9:23" x14ac:dyDescent="0.25">
      <c r="I25" s="59"/>
      <c r="J25" s="51">
        <v>5</v>
      </c>
      <c r="K25" s="53">
        <f>(K7-Q8)^2</f>
        <v>0.25</v>
      </c>
      <c r="L25" s="53">
        <f t="shared" ref="L25:N25" si="7">(L7-R8)^2</f>
        <v>0.25</v>
      </c>
      <c r="M25" s="53">
        <f t="shared" si="7"/>
        <v>1.7777777777777653E-2</v>
      </c>
      <c r="N25" s="53">
        <f t="shared" si="7"/>
        <v>0.11111111111111151</v>
      </c>
      <c r="W25" s="61"/>
    </row>
    <row r="26" spans="9:23" x14ac:dyDescent="0.25">
      <c r="I26" s="59"/>
      <c r="J26" s="51">
        <v>5</v>
      </c>
      <c r="K26" s="53">
        <f>(K8-Q8)^2</f>
        <v>0.25</v>
      </c>
      <c r="L26" s="53">
        <f t="shared" ref="L26:N26" si="8">(L8-R8)^2</f>
        <v>0</v>
      </c>
      <c r="M26" s="53">
        <f t="shared" si="8"/>
        <v>0.75111111111111195</v>
      </c>
      <c r="N26" s="53">
        <f t="shared" si="8"/>
        <v>0.11111111111111151</v>
      </c>
      <c r="W26" s="61"/>
    </row>
    <row r="27" spans="9:23" x14ac:dyDescent="0.25">
      <c r="I27" s="59"/>
      <c r="J27" s="51">
        <v>5</v>
      </c>
      <c r="K27" s="53">
        <f>(K9-Q8)^2</f>
        <v>0</v>
      </c>
      <c r="L27" s="53">
        <f t="shared" ref="L27:N27" si="9">(L9-R8)^2</f>
        <v>0.25</v>
      </c>
      <c r="M27" s="53">
        <f t="shared" si="9"/>
        <v>0.53777777777777658</v>
      </c>
      <c r="N27" s="53">
        <f t="shared" si="9"/>
        <v>0.44444444444444364</v>
      </c>
      <c r="W27" s="61"/>
    </row>
    <row r="28" spans="9:23" x14ac:dyDescent="0.25">
      <c r="I28" s="59"/>
      <c r="J28" s="51">
        <v>4</v>
      </c>
      <c r="K28" s="53">
        <f>(K10-Q7)^2</f>
        <v>1</v>
      </c>
      <c r="L28" s="53">
        <f t="shared" ref="L28:N28" si="10">(L10-R7)^2</f>
        <v>2.7777777777777804E-2</v>
      </c>
      <c r="M28" s="53">
        <f t="shared" si="10"/>
        <v>0.11111111111111122</v>
      </c>
      <c r="N28" s="53">
        <f t="shared" si="10"/>
        <v>1</v>
      </c>
      <c r="W28" s="61"/>
    </row>
    <row r="29" spans="9:23" x14ac:dyDescent="0.25">
      <c r="I29" s="59"/>
      <c r="J29" s="51">
        <v>4</v>
      </c>
      <c r="K29" s="53">
        <f>(K11-Q7)^2</f>
        <v>0</v>
      </c>
      <c r="L29" s="53">
        <f t="shared" ref="L29:N29" si="11">(L11-R7)^2</f>
        <v>0.69444444444444431</v>
      </c>
      <c r="M29" s="53">
        <f t="shared" si="11"/>
        <v>0.44444444444444425</v>
      </c>
      <c r="N29" s="53">
        <f t="shared" si="11"/>
        <v>0</v>
      </c>
      <c r="W29" s="61"/>
    </row>
    <row r="30" spans="9:23" x14ac:dyDescent="0.25">
      <c r="I30" s="59"/>
      <c r="J30" s="51">
        <v>4</v>
      </c>
      <c r="K30" s="53">
        <f>(K12-Q7)^2</f>
        <v>1</v>
      </c>
      <c r="L30" s="53">
        <f t="shared" ref="L30:N30" si="12">(L12-R7)^2</f>
        <v>0.44444444444444453</v>
      </c>
      <c r="M30" s="53">
        <f t="shared" si="12"/>
        <v>0.11111111111111122</v>
      </c>
      <c r="N30" s="53">
        <f t="shared" si="12"/>
        <v>1</v>
      </c>
      <c r="W30" s="61"/>
    </row>
    <row r="31" spans="9:23" x14ac:dyDescent="0.25">
      <c r="I31" s="59"/>
      <c r="J31" s="51">
        <v>2</v>
      </c>
      <c r="K31" s="53">
        <f>(K13-Q5)^2</f>
        <v>1</v>
      </c>
      <c r="L31" s="53">
        <f t="shared" ref="L31:N31" si="13">(L13-R5)^2</f>
        <v>0.11111111111111106</v>
      </c>
      <c r="M31" s="53">
        <f t="shared" si="13"/>
        <v>4</v>
      </c>
      <c r="N31" s="53">
        <f t="shared" si="13"/>
        <v>1</v>
      </c>
      <c r="W31" s="61"/>
    </row>
    <row r="32" spans="9:23" x14ac:dyDescent="0.25">
      <c r="I32" s="59"/>
      <c r="J32" s="51">
        <v>2</v>
      </c>
      <c r="K32" s="53">
        <f>(K14-Q5)^2</f>
        <v>1</v>
      </c>
      <c r="L32" s="53">
        <f t="shared" ref="L32:N32" si="14">(L14-R5)^2</f>
        <v>0.44444444444444453</v>
      </c>
      <c r="M32" s="53">
        <f t="shared" si="14"/>
        <v>1</v>
      </c>
      <c r="N32" s="53">
        <f t="shared" si="14"/>
        <v>1</v>
      </c>
      <c r="W32" s="61"/>
    </row>
    <row r="33" spans="9:23" x14ac:dyDescent="0.25">
      <c r="I33" s="59"/>
      <c r="J33" s="51">
        <v>2</v>
      </c>
      <c r="K33" s="53">
        <f>(K15-Q5)^2</f>
        <v>0</v>
      </c>
      <c r="L33" s="53">
        <f t="shared" ref="L33:N33" si="15">(L15-R5)^2</f>
        <v>0.11111111111111106</v>
      </c>
      <c r="M33" s="53">
        <f t="shared" si="15"/>
        <v>1</v>
      </c>
      <c r="N33" s="53">
        <f t="shared" si="15"/>
        <v>0</v>
      </c>
      <c r="W33" s="61"/>
    </row>
    <row r="34" spans="9:23" x14ac:dyDescent="0.25">
      <c r="I34" s="59"/>
      <c r="J34" s="51">
        <v>3</v>
      </c>
      <c r="K34" s="53">
        <f>(K16-Q6)^2</f>
        <v>2.7777777777777759</v>
      </c>
      <c r="L34" s="53">
        <f t="shared" ref="L34:N34" si="16">(L16-R6)^2</f>
        <v>0.44444444444444486</v>
      </c>
      <c r="M34" s="53">
        <f t="shared" si="16"/>
        <v>0</v>
      </c>
      <c r="N34" s="53">
        <f t="shared" si="16"/>
        <v>2.7777777777777786</v>
      </c>
      <c r="W34" s="61"/>
    </row>
    <row r="35" spans="9:23" x14ac:dyDescent="0.25">
      <c r="I35" s="59"/>
      <c r="J35" s="51">
        <v>3</v>
      </c>
      <c r="K35" s="53">
        <f>(K17-Q6)^2</f>
        <v>1.7777777777777795</v>
      </c>
      <c r="L35" s="53">
        <f t="shared" ref="L35:N35" si="17">(L17-R6)^2</f>
        <v>0.11111111111111091</v>
      </c>
      <c r="M35" s="53">
        <f t="shared" si="17"/>
        <v>0</v>
      </c>
      <c r="N35" s="53">
        <f t="shared" si="17"/>
        <v>5.4444444444444429</v>
      </c>
      <c r="W35" s="61"/>
    </row>
    <row r="36" spans="9:23" x14ac:dyDescent="0.25">
      <c r="I36" s="59"/>
      <c r="J36" s="51">
        <v>3</v>
      </c>
      <c r="K36" s="53">
        <f>(K18-Q6)^2</f>
        <v>0.11111111111111151</v>
      </c>
      <c r="L36" s="53">
        <f t="shared" ref="L36:N36" si="18">(L18-R6)^2</f>
        <v>0.11111111111111091</v>
      </c>
      <c r="M36" s="53">
        <f t="shared" si="18"/>
        <v>0</v>
      </c>
      <c r="N36" s="53">
        <f t="shared" si="18"/>
        <v>0.44444444444444486</v>
      </c>
      <c r="W36" s="61"/>
    </row>
    <row r="37" spans="9:23" x14ac:dyDescent="0.25">
      <c r="I37" s="62"/>
      <c r="J37" s="14"/>
      <c r="K37" s="14"/>
      <c r="L37" s="14"/>
      <c r="M37" s="14"/>
      <c r="N37" s="14"/>
      <c r="O37" s="14"/>
      <c r="P37" s="15"/>
      <c r="Q37" s="14"/>
      <c r="R37" s="14"/>
      <c r="S37" s="14"/>
      <c r="T37" s="14"/>
      <c r="U37" s="14"/>
      <c r="V37" s="14"/>
      <c r="W37" s="60"/>
    </row>
  </sheetData>
  <mergeCells count="2">
    <mergeCell ref="D2:E2"/>
    <mergeCell ref="F2:G2"/>
  </mergeCells>
  <pageMargins left="0.7" right="0.7" top="0.75" bottom="0.75" header="0.3" footer="0.3"/>
  <pageSetup orientation="portrait" horizontalDpi="0" verticalDpi="0" r:id="rId1"/>
  <ignoredErrors>
    <ignoredError sqref="Q4 Q5:Q8 R4:S8 T4:T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N11"/>
  <sheetViews>
    <sheetView tabSelected="1" workbookViewId="0">
      <selection activeCell="N9" sqref="N9"/>
    </sheetView>
  </sheetViews>
  <sheetFormatPr defaultRowHeight="15" x14ac:dyDescent="0.25"/>
  <cols>
    <col min="1" max="1" width="10" customWidth="1"/>
    <col min="3" max="8" width="9.140625" style="2"/>
    <col min="9" max="9" width="10.7109375" style="2" customWidth="1"/>
    <col min="10" max="10" width="9.140625" style="2"/>
    <col min="14" max="14" width="10.7109375" customWidth="1"/>
  </cols>
  <sheetData>
    <row r="2" spans="1:14" ht="15.75" thickBot="1" x14ac:dyDescent="0.3"/>
    <row r="3" spans="1:14" x14ac:dyDescent="0.25">
      <c r="D3" s="85"/>
      <c r="E3" s="82" t="s">
        <v>30</v>
      </c>
      <c r="F3" s="82"/>
      <c r="G3" s="82"/>
      <c r="H3" s="82"/>
      <c r="I3" s="83"/>
      <c r="J3" s="84" t="s">
        <v>31</v>
      </c>
      <c r="K3" s="82"/>
      <c r="L3" s="82"/>
      <c r="M3" s="82"/>
      <c r="N3" s="83"/>
    </row>
    <row r="4" spans="1:14" ht="21.75" customHeight="1" x14ac:dyDescent="0.25">
      <c r="D4" s="86"/>
      <c r="E4" s="6"/>
      <c r="F4" s="6"/>
      <c r="G4" s="6"/>
      <c r="H4" s="6"/>
      <c r="I4" s="43"/>
      <c r="J4" s="44"/>
      <c r="K4" s="6"/>
      <c r="L4" s="6"/>
      <c r="M4" s="6"/>
      <c r="N4" s="45"/>
    </row>
    <row r="5" spans="1:14" x14ac:dyDescent="0.25">
      <c r="A5" s="18"/>
      <c r="B5" s="19">
        <v>4</v>
      </c>
      <c r="D5" s="41">
        <v>0</v>
      </c>
      <c r="E5" s="37">
        <f>(1+($B$5-1)*D5)/(1-D5)</f>
        <v>1</v>
      </c>
      <c r="F5" s="2">
        <f>($B$8/$B$6-$B$5)*D5/(1-D5)</f>
        <v>0</v>
      </c>
      <c r="G5" s="2">
        <f>(E5*$B$10+F5*$B$11)^2/((E5*$B$10)^2/(($B$5-1)*($B$6-1))+(F5*$B$11)^2/($B$8-$B$5*$B$6))</f>
        <v>12</v>
      </c>
      <c r="H5" s="7">
        <f>$B$9/(E5*$B$10+F5*$B$11)</f>
        <v>10.384946662376553</v>
      </c>
      <c r="I5" s="46">
        <f>_xlfn.F.DIST.RT(H5,$B$6-1,G5)</f>
        <v>7.1692886305168451E-4</v>
      </c>
      <c r="J5" s="37">
        <f>1/($B$5+1+$B$8*D5/($B$6*(1-D5)))</f>
        <v>0.2</v>
      </c>
      <c r="K5">
        <f>$B$5/($B$5+1+$B$8*D5/($B$6*(1-D5)))</f>
        <v>0.8</v>
      </c>
      <c r="L5">
        <f>(J5*$B$9+K5*$B$10)^2/((J5*$B$9)^2/($B$6-1)+(K5*$B$10)^2/(($B$5-1)*($B$6-1)))</f>
        <v>7.3131601629134355</v>
      </c>
      <c r="M5" s="8">
        <f>(J5*$B$9+K5*$B$10)/$B$11</f>
        <v>5.5582173767513021</v>
      </c>
      <c r="N5" s="46">
        <f>_xlfn.F.DIST.RT(M5,L5,$B$8-$B$5*$B$6)</f>
        <v>1.6077268243954734E-4</v>
      </c>
    </row>
    <row r="6" spans="1:14" x14ac:dyDescent="0.25">
      <c r="A6" s="18"/>
      <c r="B6" s="19">
        <v>5</v>
      </c>
      <c r="D6" s="41">
        <f>D5+0.1</f>
        <v>0.1</v>
      </c>
      <c r="E6" s="37">
        <f t="shared" ref="E6:E11" si="0">(1+($B$5-1)*D6)/(1-D6)</f>
        <v>1.4444444444444444</v>
      </c>
      <c r="F6" s="2">
        <f t="shared" ref="F6:F11" si="1">($B$8/$B$6-$B$5)*D6/(1-D6)</f>
        <v>0.88888888888888895</v>
      </c>
      <c r="G6" s="2">
        <f>(E6*$B$10+F6*$B$11)^2/((E6*$B$10)^2/(($B$5-1)*($B$6-1))+(F6*$B$11)^2/($B$8-$B$5*$B$6))</f>
        <v>20.245980874535654</v>
      </c>
      <c r="H6" s="7">
        <f t="shared" ref="H6:H11" si="2">$B$9/(E6*$B$10+F6*$B$11)</f>
        <v>5.4527256791275045</v>
      </c>
      <c r="I6" s="46">
        <f t="shared" ref="I6:I11" si="3">_xlfn.F.DIST.RT(H6,$B$6-1,G6)</f>
        <v>3.899011811905244E-3</v>
      </c>
      <c r="J6" s="37">
        <f t="shared" ref="J6:J11" si="4">1/($B$5+1+$B$8*D6/($B$6*(1-D6)))</f>
        <v>0.15789473684210528</v>
      </c>
      <c r="K6">
        <f t="shared" ref="K6:K11" si="5">$B$5/($B$5+1+$B$8*D6/($B$6*(1-D6)))</f>
        <v>0.63157894736842113</v>
      </c>
      <c r="L6">
        <f t="shared" ref="L6:L11" si="6">(J6*$B$9+K6*$B$10)^2/((J6*$B$9)^2/($B$6-1)+(K6*$B$10)^2/(($B$5-1)*($B$6-1)))</f>
        <v>7.3131601629134364</v>
      </c>
      <c r="M6" s="8">
        <f t="shared" ref="M6:M11" si="7">(J6*$B$9+K6*$B$10)/$B$11</f>
        <v>4.3880663500668176</v>
      </c>
      <c r="N6" s="46">
        <f t="shared" ref="N6:N11" si="8">_xlfn.F.DIST.RT(M6,L6,$B$8-$B$5*$B$6)</f>
        <v>1.0835871466579679E-3</v>
      </c>
    </row>
    <row r="7" spans="1:14" x14ac:dyDescent="0.25">
      <c r="A7" s="18"/>
      <c r="B7" s="19">
        <v>3</v>
      </c>
      <c r="D7" s="41">
        <f t="shared" ref="D7:D11" si="9">D6+0.1</f>
        <v>0.2</v>
      </c>
      <c r="E7" s="37">
        <f t="shared" si="0"/>
        <v>2</v>
      </c>
      <c r="F7" s="2">
        <f t="shared" si="1"/>
        <v>2</v>
      </c>
      <c r="G7" s="2">
        <f>(E7*$B$10+F7*$B$11)^2/((E7*$B$10)^2/(($B$5-1)*($B$6-1))+(F7*$B$11)^2/($B$8-$B$5*$B$6))</f>
        <v>25.581540796217123</v>
      </c>
      <c r="H7" s="7">
        <f t="shared" si="2"/>
        <v>3.4214805271054849</v>
      </c>
      <c r="I7" s="46">
        <f t="shared" si="3"/>
        <v>2.3121063676631817E-2</v>
      </c>
      <c r="J7" s="37">
        <f t="shared" si="4"/>
        <v>0.125</v>
      </c>
      <c r="K7">
        <f t="shared" si="5"/>
        <v>0.5</v>
      </c>
      <c r="L7">
        <f t="shared" si="6"/>
        <v>7.3131601629134355</v>
      </c>
      <c r="M7" s="8">
        <f t="shared" si="7"/>
        <v>3.4738858604695637</v>
      </c>
      <c r="N7" s="46">
        <f t="shared" si="8"/>
        <v>5.3215159838799816E-3</v>
      </c>
    </row>
    <row r="8" spans="1:14" x14ac:dyDescent="0.25">
      <c r="A8" s="18"/>
      <c r="B8" s="19">
        <f>'Example 6.2'!C6</f>
        <v>60</v>
      </c>
      <c r="D8" s="41">
        <f t="shared" si="9"/>
        <v>0.30000000000000004</v>
      </c>
      <c r="E8" s="37">
        <f t="shared" si="0"/>
        <v>2.7142857142857149</v>
      </c>
      <c r="F8" s="2">
        <f t="shared" si="1"/>
        <v>3.4285714285714293</v>
      </c>
      <c r="G8" s="2">
        <f t="shared" ref="G8:G11" si="10">(E8*$B$10+F8*$B$11)^2/((E8*$B$10)^2/(($B$5-1)*($B$6-1))+(F8*$B$11)^2/($B$8-$B$5*$B$6))</f>
        <v>29.090811956875921</v>
      </c>
      <c r="H8" s="7">
        <f t="shared" si="2"/>
        <v>2.3134473195233962</v>
      </c>
      <c r="I8" s="46">
        <f t="shared" si="3"/>
        <v>8.1271645509620516E-2</v>
      </c>
      <c r="J8" s="37">
        <f t="shared" si="4"/>
        <v>9.8591549295774641E-2</v>
      </c>
      <c r="K8">
        <f t="shared" si="5"/>
        <v>0.39436619718309857</v>
      </c>
      <c r="L8">
        <f t="shared" si="6"/>
        <v>7.3131601629134355</v>
      </c>
      <c r="M8" s="8">
        <f t="shared" si="7"/>
        <v>2.7399663124830358</v>
      </c>
      <c r="N8" s="46">
        <f t="shared" si="8"/>
        <v>2.0180108559395945E-2</v>
      </c>
    </row>
    <row r="9" spans="1:14" x14ac:dyDescent="0.25">
      <c r="A9" s="20" t="s">
        <v>15</v>
      </c>
      <c r="B9" s="34">
        <f>'Example 6.2'!C7</f>
        <v>23.310166666666657</v>
      </c>
      <c r="D9" s="41">
        <f t="shared" si="9"/>
        <v>0.4</v>
      </c>
      <c r="E9" s="37">
        <f t="shared" si="0"/>
        <v>3.666666666666667</v>
      </c>
      <c r="F9" s="2">
        <f t="shared" si="1"/>
        <v>5.3333333333333339</v>
      </c>
      <c r="G9" s="2">
        <f t="shared" si="10"/>
        <v>31.512595851010296</v>
      </c>
      <c r="H9" s="7">
        <f t="shared" si="2"/>
        <v>1.6157673344535133</v>
      </c>
      <c r="I9" s="46">
        <f t="shared" si="3"/>
        <v>0.19516304018402947</v>
      </c>
      <c r="J9" s="37">
        <f t="shared" si="4"/>
        <v>7.6923076923076927E-2</v>
      </c>
      <c r="K9">
        <f t="shared" si="5"/>
        <v>0.30769230769230771</v>
      </c>
      <c r="L9">
        <f t="shared" si="6"/>
        <v>7.3131601629134373</v>
      </c>
      <c r="M9" s="8">
        <f t="shared" si="7"/>
        <v>2.137775914135116</v>
      </c>
      <c r="N9" s="46">
        <f t="shared" si="8"/>
        <v>6.1415239516852009E-2</v>
      </c>
    </row>
    <row r="10" spans="1:14" x14ac:dyDescent="0.25">
      <c r="A10" s="20" t="s">
        <v>16</v>
      </c>
      <c r="B10" s="34">
        <f>'Example 6.2'!C8</f>
        <v>2.2446111111111109</v>
      </c>
      <c r="D10" s="41">
        <f t="shared" si="9"/>
        <v>0.5</v>
      </c>
      <c r="E10" s="37">
        <f t="shared" si="0"/>
        <v>5</v>
      </c>
      <c r="F10" s="2">
        <f t="shared" si="1"/>
        <v>8</v>
      </c>
      <c r="G10" s="2">
        <f t="shared" si="10"/>
        <v>33.262544172186665</v>
      </c>
      <c r="H10" s="7">
        <f t="shared" si="2"/>
        <v>1.1360991446418947</v>
      </c>
      <c r="I10" s="46">
        <f t="shared" si="3"/>
        <v>0.35661266764270949</v>
      </c>
      <c r="J10" s="37">
        <f t="shared" si="4"/>
        <v>5.8823529411764705E-2</v>
      </c>
      <c r="K10">
        <f t="shared" si="5"/>
        <v>0.23529411764705882</v>
      </c>
      <c r="L10">
        <f t="shared" si="6"/>
        <v>7.3131601629134355</v>
      </c>
      <c r="M10" s="8">
        <f t="shared" si="7"/>
        <v>1.6347698166915592</v>
      </c>
      <c r="N10" s="46">
        <f t="shared" si="8"/>
        <v>0.15373151098693272</v>
      </c>
    </row>
    <row r="11" spans="1:14" ht="15.75" thickBot="1" x14ac:dyDescent="0.3">
      <c r="A11" s="20" t="s">
        <v>17</v>
      </c>
      <c r="B11" s="34">
        <f>'Example 6.2'!C9</f>
        <v>1.1618333333333333</v>
      </c>
      <c r="D11" s="42">
        <f t="shared" si="9"/>
        <v>0.6</v>
      </c>
      <c r="E11" s="38">
        <f t="shared" si="0"/>
        <v>6.9999999999999991</v>
      </c>
      <c r="F11" s="39">
        <f t="shared" si="1"/>
        <v>11.999999999999998</v>
      </c>
      <c r="G11" s="39">
        <f t="shared" si="10"/>
        <v>34.576926476508724</v>
      </c>
      <c r="H11" s="48">
        <f t="shared" si="2"/>
        <v>0.78606421782879354</v>
      </c>
      <c r="I11" s="47">
        <f t="shared" si="3"/>
        <v>0.54225488107016595</v>
      </c>
      <c r="J11" s="38">
        <f t="shared" si="4"/>
        <v>4.3478260869565216E-2</v>
      </c>
      <c r="K11" s="40">
        <f t="shared" si="5"/>
        <v>0.17391304347826086</v>
      </c>
      <c r="L11" s="40">
        <f t="shared" si="6"/>
        <v>7.3131601629134346</v>
      </c>
      <c r="M11" s="49">
        <f t="shared" si="7"/>
        <v>1.2083081253807177</v>
      </c>
      <c r="N11" s="47">
        <f t="shared" si="8"/>
        <v>0.32073139238611348</v>
      </c>
    </row>
  </sheetData>
  <mergeCells count="3">
    <mergeCell ref="E3:I3"/>
    <mergeCell ref="J3:N3"/>
    <mergeCell ref="D3:D4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6.1</vt:lpstr>
      <vt:lpstr>Example 6.2</vt:lpstr>
      <vt:lpstr>Examples 6.3</vt:lpstr>
    </vt:vector>
  </TitlesOfParts>
  <Company>Advanced Analytics,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Gwet</dc:creator>
  <cp:lastModifiedBy>KL Gwet</cp:lastModifiedBy>
  <cp:lastPrinted>2019-03-12T11:38:13Z</cp:lastPrinted>
  <dcterms:created xsi:type="dcterms:W3CDTF">2011-11-30T15:59:30Z</dcterms:created>
  <dcterms:modified xsi:type="dcterms:W3CDTF">2021-01-13T01:08:28Z</dcterms:modified>
</cp:coreProperties>
</file>