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wet6\Documents\HandbookIRR5thEdition\VOL2ICC\chap5\examples\"/>
    </mc:Choice>
  </mc:AlternateContent>
  <xr:revisionPtr revIDLastSave="0" documentId="13_ncr:1_{F31D6EF8-5D2B-48F9-90B8-8480F21A2EFB}" xr6:coauthVersionLast="45" xr6:coauthVersionMax="45" xr10:uidLastSave="{00000000-0000-0000-0000-000000000000}"/>
  <bookViews>
    <workbookView xWindow="-120" yWindow="-120" windowWidth="20730" windowHeight="11310" firstSheet="3" activeTab="5" xr2:uid="{00000000-000D-0000-FFFF-FFFF00000000}"/>
  </bookViews>
  <sheets>
    <sheet name="Example 5.1" sheetId="1" r:id="rId1"/>
    <sheet name="Example 5.2" sheetId="7" r:id="rId2"/>
    <sheet name="Example 5.3" sheetId="3" r:id="rId3"/>
    <sheet name="Example 5.4" sheetId="8" r:id="rId4"/>
    <sheet name="Example 5.5 (Table 9.2 Data)" sheetId="4" r:id="rId5"/>
    <sheet name="Example 5.5 (Table 5.2 Data)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9" l="1"/>
  <c r="F25" i="4" l="1"/>
  <c r="E25" i="4"/>
  <c r="D25" i="4"/>
  <c r="C25" i="4"/>
  <c r="I24" i="4"/>
  <c r="AB24" i="4" s="1"/>
  <c r="I23" i="4"/>
  <c r="Z23" i="4" s="1"/>
  <c r="I22" i="4"/>
  <c r="I21" i="4"/>
  <c r="I20" i="4"/>
  <c r="I19" i="4"/>
  <c r="I18" i="4"/>
  <c r="I17" i="4"/>
  <c r="Z17" i="4" s="1"/>
  <c r="I16" i="4"/>
  <c r="I15" i="4"/>
  <c r="I14" i="4"/>
  <c r="I13" i="4"/>
  <c r="I12" i="4"/>
  <c r="I11" i="4"/>
  <c r="I10" i="4"/>
  <c r="K3" i="4"/>
  <c r="AB18" i="4" l="1"/>
  <c r="AB11" i="4"/>
  <c r="AB19" i="4"/>
  <c r="AA24" i="4"/>
  <c r="Z19" i="4"/>
  <c r="AB12" i="4"/>
  <c r="AB20" i="4"/>
  <c r="Z20" i="4"/>
  <c r="AB13" i="4"/>
  <c r="AB21" i="4"/>
  <c r="Z11" i="4"/>
  <c r="Z21" i="4"/>
  <c r="AB16" i="4"/>
  <c r="AB10" i="4"/>
  <c r="AB14" i="4"/>
  <c r="AB22" i="4"/>
  <c r="Z12" i="4"/>
  <c r="AB17" i="4"/>
  <c r="AB15" i="4"/>
  <c r="AB23" i="4"/>
  <c r="Z13" i="4"/>
  <c r="Z24" i="4"/>
  <c r="Z15" i="4"/>
  <c r="Z16" i="4"/>
  <c r="AA10" i="4"/>
  <c r="AA12" i="4"/>
  <c r="AA14" i="4"/>
  <c r="AA16" i="4"/>
  <c r="AA20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Z10" i="4"/>
  <c r="Z14" i="4"/>
  <c r="Z18" i="4"/>
  <c r="Z22" i="4"/>
  <c r="AA11" i="4"/>
  <c r="AA13" i="4"/>
  <c r="AA15" i="4"/>
  <c r="AA17" i="4"/>
  <c r="AA18" i="4"/>
  <c r="AA19" i="4"/>
  <c r="AA21" i="4"/>
  <c r="AA22" i="4"/>
  <c r="AA23" i="4"/>
  <c r="I22" i="8"/>
  <c r="I23" i="8" l="1"/>
  <c r="I24" i="8" l="1"/>
  <c r="I53" i="9"/>
  <c r="I52" i="9"/>
  <c r="I51" i="9"/>
  <c r="I49" i="9"/>
  <c r="I50" i="9"/>
  <c r="I48" i="9"/>
  <c r="I47" i="9"/>
  <c r="I46" i="9"/>
  <c r="F56" i="9"/>
  <c r="E56" i="9"/>
  <c r="D56" i="9"/>
  <c r="C56" i="9"/>
  <c r="Q3" i="9"/>
  <c r="F53" i="9"/>
  <c r="E53" i="9"/>
  <c r="D53" i="9"/>
  <c r="C53" i="9"/>
  <c r="F52" i="9"/>
  <c r="E52" i="9"/>
  <c r="D52" i="9"/>
  <c r="C52" i="9"/>
  <c r="F51" i="9"/>
  <c r="E51" i="9"/>
  <c r="D51" i="9"/>
  <c r="C51" i="9"/>
  <c r="F50" i="9"/>
  <c r="E50" i="9"/>
  <c r="D50" i="9"/>
  <c r="C50" i="9"/>
  <c r="F49" i="9"/>
  <c r="E49" i="9"/>
  <c r="D49" i="9"/>
  <c r="C49" i="9"/>
  <c r="F48" i="9"/>
  <c r="E48" i="9"/>
  <c r="D48" i="9"/>
  <c r="C48" i="9"/>
  <c r="F47" i="9"/>
  <c r="E47" i="9"/>
  <c r="D47" i="9"/>
  <c r="C47" i="9"/>
  <c r="F46" i="9"/>
  <c r="E46" i="9"/>
  <c r="D46" i="9"/>
  <c r="C46" i="9"/>
  <c r="F40" i="9"/>
  <c r="E40" i="9"/>
  <c r="D40" i="9"/>
  <c r="C40" i="9"/>
  <c r="F39" i="9"/>
  <c r="E39" i="9"/>
  <c r="D39" i="9"/>
  <c r="C39" i="9"/>
  <c r="F38" i="9"/>
  <c r="E38" i="9"/>
  <c r="D38" i="9"/>
  <c r="C38" i="9"/>
  <c r="F37" i="9"/>
  <c r="E37" i="9"/>
  <c r="D37" i="9"/>
  <c r="L50" i="9" s="1"/>
  <c r="C37" i="9"/>
  <c r="F36" i="9"/>
  <c r="N49" i="9" s="1"/>
  <c r="E36" i="9"/>
  <c r="D36" i="9"/>
  <c r="C36" i="9"/>
  <c r="F35" i="9"/>
  <c r="E35" i="9"/>
  <c r="M48" i="9" s="1"/>
  <c r="D35" i="9"/>
  <c r="L48" i="9" s="1"/>
  <c r="C35" i="9"/>
  <c r="F34" i="9"/>
  <c r="E34" i="9"/>
  <c r="M47" i="9" s="1"/>
  <c r="D34" i="9"/>
  <c r="C34" i="9"/>
  <c r="F33" i="9"/>
  <c r="E33" i="9"/>
  <c r="M46" i="9" s="1"/>
  <c r="D33" i="9"/>
  <c r="D41" i="9" s="1"/>
  <c r="C33" i="9"/>
  <c r="K46" i="9" s="1"/>
  <c r="F28" i="9"/>
  <c r="E28" i="9"/>
  <c r="D28" i="9"/>
  <c r="C28" i="9"/>
  <c r="L27" i="9"/>
  <c r="K27" i="9"/>
  <c r="J27" i="9"/>
  <c r="I27" i="9"/>
  <c r="L26" i="9"/>
  <c r="K26" i="9"/>
  <c r="J26" i="9"/>
  <c r="I26" i="9"/>
  <c r="L25" i="9"/>
  <c r="K25" i="9"/>
  <c r="J25" i="9"/>
  <c r="I25" i="9"/>
  <c r="L24" i="9"/>
  <c r="K24" i="9"/>
  <c r="J24" i="9"/>
  <c r="I24" i="9"/>
  <c r="L23" i="9"/>
  <c r="K23" i="9"/>
  <c r="J23" i="9"/>
  <c r="I23" i="9"/>
  <c r="L22" i="9"/>
  <c r="K22" i="9"/>
  <c r="J22" i="9"/>
  <c r="I22" i="9"/>
  <c r="L21" i="9"/>
  <c r="K21" i="9"/>
  <c r="J21" i="9"/>
  <c r="I21" i="9"/>
  <c r="L20" i="9"/>
  <c r="K20" i="9"/>
  <c r="J20" i="9"/>
  <c r="I20" i="9"/>
  <c r="M6" i="9"/>
  <c r="M7" i="9"/>
  <c r="L19" i="9"/>
  <c r="K19" i="9"/>
  <c r="J19" i="9"/>
  <c r="I19" i="9"/>
  <c r="L18" i="9"/>
  <c r="K18" i="9"/>
  <c r="J18" i="9"/>
  <c r="I18" i="9"/>
  <c r="L17" i="9"/>
  <c r="K17" i="9"/>
  <c r="J17" i="9"/>
  <c r="I17" i="9"/>
  <c r="L16" i="9"/>
  <c r="K16" i="9"/>
  <c r="J16" i="9"/>
  <c r="I16" i="9"/>
  <c r="L15" i="9"/>
  <c r="K15" i="9"/>
  <c r="J15" i="9"/>
  <c r="I15" i="9"/>
  <c r="L14" i="9"/>
  <c r="K14" i="9"/>
  <c r="J14" i="9"/>
  <c r="I14" i="9"/>
  <c r="L13" i="9"/>
  <c r="K13" i="9"/>
  <c r="J13" i="9"/>
  <c r="I13" i="9"/>
  <c r="Q2" i="9"/>
  <c r="F32" i="8"/>
  <c r="E32" i="8"/>
  <c r="D32" i="8"/>
  <c r="C32" i="8"/>
  <c r="F31" i="8"/>
  <c r="E31" i="8"/>
  <c r="S13" i="8" s="1"/>
  <c r="D31" i="8"/>
  <c r="C31" i="8"/>
  <c r="F30" i="8"/>
  <c r="E30" i="8"/>
  <c r="D30" i="8"/>
  <c r="G30" i="8" s="1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C26" i="8"/>
  <c r="F25" i="8"/>
  <c r="E25" i="8"/>
  <c r="D25" i="8"/>
  <c r="C25" i="8"/>
  <c r="W21" i="8"/>
  <c r="Z19" i="8"/>
  <c r="Z18" i="8"/>
  <c r="Z17" i="8"/>
  <c r="Z16" i="8"/>
  <c r="L15" i="8"/>
  <c r="K15" i="8"/>
  <c r="J15" i="8"/>
  <c r="I15" i="8"/>
  <c r="X14" i="8"/>
  <c r="M14" i="8"/>
  <c r="L14" i="8"/>
  <c r="Z21" i="8" s="1"/>
  <c r="K14" i="8"/>
  <c r="Y21" i="8" s="1"/>
  <c r="J14" i="8"/>
  <c r="X21" i="8" s="1"/>
  <c r="I14" i="8"/>
  <c r="M13" i="8"/>
  <c r="L13" i="8"/>
  <c r="Z20" i="8" s="1"/>
  <c r="K13" i="8"/>
  <c r="Y19" i="8" s="1"/>
  <c r="J13" i="8"/>
  <c r="X19" i="8" s="1"/>
  <c r="I13" i="8"/>
  <c r="W19" i="8" s="1"/>
  <c r="Y12" i="8"/>
  <c r="M12" i="8"/>
  <c r="L12" i="8"/>
  <c r="K12" i="8"/>
  <c r="J12" i="8"/>
  <c r="X18" i="8" s="1"/>
  <c r="I12" i="8"/>
  <c r="W18" i="8" s="1"/>
  <c r="Y11" i="8"/>
  <c r="M11" i="8"/>
  <c r="L11" i="8"/>
  <c r="Z15" i="8" s="1"/>
  <c r="K11" i="8"/>
  <c r="Y16" i="8" s="1"/>
  <c r="J11" i="8"/>
  <c r="X16" i="8" s="1"/>
  <c r="I11" i="8"/>
  <c r="W15" i="8" s="1"/>
  <c r="M10" i="8"/>
  <c r="K10" i="8"/>
  <c r="Y14" i="8" s="1"/>
  <c r="J10" i="8"/>
  <c r="I10" i="8"/>
  <c r="W14" i="8" s="1"/>
  <c r="M9" i="8"/>
  <c r="L9" i="8"/>
  <c r="Z13" i="8" s="1"/>
  <c r="K9" i="8"/>
  <c r="Y13" i="8" s="1"/>
  <c r="J9" i="8"/>
  <c r="X11" i="8" s="1"/>
  <c r="I9" i="8"/>
  <c r="W12" i="8" s="1"/>
  <c r="M8" i="8"/>
  <c r="L8" i="8"/>
  <c r="Z10" i="8" s="1"/>
  <c r="K8" i="8"/>
  <c r="J8" i="8"/>
  <c r="X10" i="8" s="1"/>
  <c r="I8" i="8"/>
  <c r="W9" i="8" s="1"/>
  <c r="M7" i="8"/>
  <c r="L7" i="8"/>
  <c r="Z8" i="8" s="1"/>
  <c r="K7" i="8"/>
  <c r="Y8" i="8" s="1"/>
  <c r="J7" i="8"/>
  <c r="X8" i="8" s="1"/>
  <c r="I7" i="8"/>
  <c r="W8" i="8" s="1"/>
  <c r="K2" i="8"/>
  <c r="M1" i="8"/>
  <c r="K1" i="8"/>
  <c r="F4" i="3"/>
  <c r="W17" i="8" l="1"/>
  <c r="X9" i="8"/>
  <c r="X17" i="8"/>
  <c r="T10" i="8"/>
  <c r="S14" i="8"/>
  <c r="C33" i="8"/>
  <c r="I16" i="8" s="1"/>
  <c r="N16" i="8" s="1"/>
  <c r="G29" i="8"/>
  <c r="X7" i="8"/>
  <c r="D33" i="8"/>
  <c r="J16" i="8" s="1"/>
  <c r="R7" i="8"/>
  <c r="R12" i="8"/>
  <c r="Y7" i="8"/>
  <c r="S11" i="8"/>
  <c r="X12" i="8"/>
  <c r="T9" i="8"/>
  <c r="W10" i="8"/>
  <c r="Q8" i="8"/>
  <c r="G28" i="8"/>
  <c r="N10" i="8" s="1"/>
  <c r="Q12" i="8"/>
  <c r="E5" i="9"/>
  <c r="M50" i="9"/>
  <c r="M52" i="9"/>
  <c r="M53" i="9"/>
  <c r="I25" i="8"/>
  <c r="R23" i="9"/>
  <c r="Q27" i="9"/>
  <c r="R22" i="9"/>
  <c r="P16" i="9"/>
  <c r="P15" i="9"/>
  <c r="R16" i="9"/>
  <c r="Q16" i="9"/>
  <c r="R15" i="9"/>
  <c r="Q15" i="9"/>
  <c r="Q19" i="9"/>
  <c r="P18" i="9"/>
  <c r="P17" i="9"/>
  <c r="R18" i="9"/>
  <c r="R19" i="9"/>
  <c r="Q18" i="9"/>
  <c r="R17" i="9"/>
  <c r="Q17" i="9"/>
  <c r="R25" i="9"/>
  <c r="P25" i="9"/>
  <c r="R26" i="9"/>
  <c r="Q25" i="9"/>
  <c r="Q26" i="9"/>
  <c r="P26" i="9"/>
  <c r="Q20" i="9"/>
  <c r="P20" i="9"/>
  <c r="O20" i="9"/>
  <c r="P21" i="9"/>
  <c r="P24" i="9"/>
  <c r="Q23" i="9"/>
  <c r="P23" i="9"/>
  <c r="R27" i="9"/>
  <c r="N51" i="9"/>
  <c r="N53" i="9"/>
  <c r="O18" i="9"/>
  <c r="K48" i="9"/>
  <c r="K50" i="9"/>
  <c r="K52" i="9"/>
  <c r="D54" i="9"/>
  <c r="D55" i="9" s="1"/>
  <c r="M49" i="9"/>
  <c r="M51" i="9"/>
  <c r="E54" i="9"/>
  <c r="Q8" i="9"/>
  <c r="L52" i="9"/>
  <c r="N47" i="9"/>
  <c r="O3" i="9"/>
  <c r="G47" i="9"/>
  <c r="K47" i="9"/>
  <c r="G49" i="9"/>
  <c r="K49" i="9"/>
  <c r="G51" i="9"/>
  <c r="K51" i="9"/>
  <c r="G53" i="9"/>
  <c r="K53" i="9"/>
  <c r="Q1" i="9"/>
  <c r="F54" i="9"/>
  <c r="C54" i="9"/>
  <c r="L46" i="9"/>
  <c r="G48" i="9"/>
  <c r="G50" i="9"/>
  <c r="G52" i="9"/>
  <c r="D29" i="9"/>
  <c r="D42" i="9"/>
  <c r="K39" i="9"/>
  <c r="K37" i="9"/>
  <c r="K35" i="9"/>
  <c r="K33" i="9"/>
  <c r="G34" i="9"/>
  <c r="P34" i="9" s="1"/>
  <c r="G36" i="9"/>
  <c r="P36" i="9" s="1"/>
  <c r="G38" i="9"/>
  <c r="G40" i="9"/>
  <c r="O40" i="9" s="1"/>
  <c r="E41" i="9"/>
  <c r="L35" i="9" s="1"/>
  <c r="F41" i="9"/>
  <c r="M39" i="9" s="1"/>
  <c r="G46" i="9"/>
  <c r="G33" i="9"/>
  <c r="Q33" i="9" s="1"/>
  <c r="G35" i="9"/>
  <c r="Q35" i="9" s="1"/>
  <c r="G37" i="9"/>
  <c r="Q37" i="9" s="1"/>
  <c r="G39" i="9"/>
  <c r="Q39" i="9" s="1"/>
  <c r="C41" i="9"/>
  <c r="J34" i="9" s="1"/>
  <c r="N46" i="9"/>
  <c r="L47" i="9"/>
  <c r="N48" i="9"/>
  <c r="L49" i="9"/>
  <c r="N50" i="9"/>
  <c r="L51" i="9"/>
  <c r="N52" i="9"/>
  <c r="L53" i="9"/>
  <c r="K34" i="9"/>
  <c r="K36" i="9"/>
  <c r="K38" i="9"/>
  <c r="K40" i="9"/>
  <c r="G26" i="8"/>
  <c r="N8" i="8" s="1"/>
  <c r="S7" i="8"/>
  <c r="T12" i="8"/>
  <c r="R8" i="8"/>
  <c r="N11" i="8"/>
  <c r="T13" i="8"/>
  <c r="T14" i="8"/>
  <c r="S9" i="8"/>
  <c r="W7" i="8"/>
  <c r="Q7" i="8"/>
  <c r="T8" i="8"/>
  <c r="R9" i="8"/>
  <c r="Q11" i="8"/>
  <c r="W16" i="8"/>
  <c r="T11" i="8"/>
  <c r="R14" i="8"/>
  <c r="F33" i="8"/>
  <c r="L16" i="8" s="1"/>
  <c r="S10" i="8"/>
  <c r="R13" i="8"/>
  <c r="Y18" i="8"/>
  <c r="Y17" i="8"/>
  <c r="S12" i="8"/>
  <c r="Z12" i="8"/>
  <c r="Z11" i="8"/>
  <c r="Q10" i="8"/>
  <c r="Q9" i="8"/>
  <c r="N12" i="8"/>
  <c r="Z7" i="8"/>
  <c r="T7" i="8"/>
  <c r="Y10" i="8"/>
  <c r="Y9" i="8"/>
  <c r="W13" i="8"/>
  <c r="W11" i="8"/>
  <c r="R10" i="8"/>
  <c r="E33" i="8"/>
  <c r="K16" i="8" s="1"/>
  <c r="S8" i="8"/>
  <c r="R11" i="8"/>
  <c r="Q13" i="8"/>
  <c r="Q14" i="8"/>
  <c r="X15" i="8"/>
  <c r="X20" i="8"/>
  <c r="G27" i="8"/>
  <c r="N9" i="8" s="1"/>
  <c r="G31" i="8"/>
  <c r="N13" i="8" s="1"/>
  <c r="Z9" i="8"/>
  <c r="Y15" i="8"/>
  <c r="Y20" i="8"/>
  <c r="G32" i="8"/>
  <c r="N14" i="8" s="1"/>
  <c r="G25" i="8"/>
  <c r="N7" i="8" s="1"/>
  <c r="L33" i="9" l="1"/>
  <c r="Q15" i="8"/>
  <c r="N15" i="8"/>
  <c r="I26" i="8"/>
  <c r="O21" i="9"/>
  <c r="P22" i="9"/>
  <c r="Q21" i="9"/>
  <c r="R21" i="9"/>
  <c r="O24" i="9"/>
  <c r="Q22" i="9"/>
  <c r="O17" i="9"/>
  <c r="P27" i="9"/>
  <c r="O15" i="9"/>
  <c r="O27" i="9"/>
  <c r="O23" i="9"/>
  <c r="R24" i="9"/>
  <c r="O22" i="9"/>
  <c r="O25" i="9"/>
  <c r="O36" i="9"/>
  <c r="Q24" i="9"/>
  <c r="O16" i="9"/>
  <c r="P40" i="9"/>
  <c r="H52" i="9"/>
  <c r="O19" i="9"/>
  <c r="P14" i="9"/>
  <c r="P13" i="9"/>
  <c r="R14" i="9"/>
  <c r="Q14" i="9"/>
  <c r="O14" i="9"/>
  <c r="O13" i="9"/>
  <c r="R13" i="9"/>
  <c r="Q13" i="9"/>
  <c r="H49" i="9"/>
  <c r="J36" i="9"/>
  <c r="J40" i="9"/>
  <c r="M35" i="9"/>
  <c r="R39" i="9"/>
  <c r="H47" i="9"/>
  <c r="O2" i="9"/>
  <c r="H51" i="9"/>
  <c r="O34" i="9"/>
  <c r="L37" i="9"/>
  <c r="L39" i="9"/>
  <c r="H46" i="9"/>
  <c r="G54" i="9"/>
  <c r="H37" i="9"/>
  <c r="P37" i="9"/>
  <c r="O37" i="9"/>
  <c r="F42" i="9"/>
  <c r="M40" i="9"/>
  <c r="M38" i="9"/>
  <c r="M36" i="9"/>
  <c r="M34" i="9"/>
  <c r="F29" i="9"/>
  <c r="R37" i="9"/>
  <c r="O38" i="9"/>
  <c r="M37" i="9"/>
  <c r="G41" i="9"/>
  <c r="M8" i="9" s="1"/>
  <c r="C29" i="9"/>
  <c r="C42" i="9"/>
  <c r="J39" i="9"/>
  <c r="J37" i="9"/>
  <c r="J35" i="9"/>
  <c r="J33" i="9"/>
  <c r="J38" i="9"/>
  <c r="H33" i="9"/>
  <c r="P33" i="9"/>
  <c r="O33" i="9"/>
  <c r="R40" i="9"/>
  <c r="H40" i="9"/>
  <c r="Q40" i="9"/>
  <c r="F55" i="9"/>
  <c r="R33" i="9"/>
  <c r="P38" i="9"/>
  <c r="C55" i="9"/>
  <c r="H35" i="9"/>
  <c r="P35" i="9"/>
  <c r="O35" i="9"/>
  <c r="R38" i="9"/>
  <c r="H38" i="9"/>
  <c r="Q38" i="9"/>
  <c r="R36" i="9"/>
  <c r="H36" i="9"/>
  <c r="Q36" i="9"/>
  <c r="H50" i="9"/>
  <c r="M33" i="9"/>
  <c r="H39" i="9"/>
  <c r="P39" i="9"/>
  <c r="O39" i="9"/>
  <c r="E42" i="9"/>
  <c r="L40" i="9"/>
  <c r="L38" i="9"/>
  <c r="L36" i="9"/>
  <c r="L34" i="9"/>
  <c r="E29" i="9"/>
  <c r="R34" i="9"/>
  <c r="H34" i="9"/>
  <c r="Q34" i="9"/>
  <c r="R35" i="9"/>
  <c r="H53" i="9"/>
  <c r="E55" i="9"/>
  <c r="H48" i="9"/>
  <c r="W23" i="8"/>
  <c r="X23" i="8" s="1"/>
  <c r="G33" i="8"/>
  <c r="M2" i="8" s="1"/>
  <c r="K25" i="8" s="1"/>
  <c r="Z12" i="7"/>
  <c r="X11" i="7"/>
  <c r="W13" i="7"/>
  <c r="W10" i="7"/>
  <c r="W9" i="7"/>
  <c r="K2" i="7"/>
  <c r="M14" i="7"/>
  <c r="M13" i="7"/>
  <c r="M12" i="7"/>
  <c r="M11" i="7"/>
  <c r="M10" i="7"/>
  <c r="M9" i="7"/>
  <c r="M8" i="7"/>
  <c r="M7" i="7"/>
  <c r="L15" i="7"/>
  <c r="K15" i="7"/>
  <c r="J15" i="7"/>
  <c r="I15" i="7"/>
  <c r="L14" i="7"/>
  <c r="Z21" i="7" s="1"/>
  <c r="K14" i="7"/>
  <c r="Y21" i="7" s="1"/>
  <c r="J14" i="7"/>
  <c r="X21" i="7" s="1"/>
  <c r="L13" i="7"/>
  <c r="Z20" i="7" s="1"/>
  <c r="K13" i="7"/>
  <c r="Y19" i="7" s="1"/>
  <c r="J13" i="7"/>
  <c r="X19" i="7" s="1"/>
  <c r="L12" i="7"/>
  <c r="Z18" i="7" s="1"/>
  <c r="K12" i="7"/>
  <c r="Y18" i="7" s="1"/>
  <c r="J12" i="7"/>
  <c r="X18" i="7" s="1"/>
  <c r="L11" i="7"/>
  <c r="Z16" i="7" s="1"/>
  <c r="K11" i="7"/>
  <c r="Y16" i="7" s="1"/>
  <c r="J11" i="7"/>
  <c r="K10" i="7"/>
  <c r="Y14" i="7" s="1"/>
  <c r="J10" i="7"/>
  <c r="X14" i="7" s="1"/>
  <c r="L9" i="7"/>
  <c r="Z13" i="7" s="1"/>
  <c r="K9" i="7"/>
  <c r="Y12" i="7" s="1"/>
  <c r="J9" i="7"/>
  <c r="X12" i="7" s="1"/>
  <c r="L8" i="7"/>
  <c r="Z9" i="7" s="1"/>
  <c r="K8" i="7"/>
  <c r="Y10" i="7" s="1"/>
  <c r="J8" i="7"/>
  <c r="L7" i="7"/>
  <c r="Z8" i="7" s="1"/>
  <c r="K7" i="7"/>
  <c r="Y8" i="7" s="1"/>
  <c r="J7" i="7"/>
  <c r="X8" i="7" s="1"/>
  <c r="I14" i="7"/>
  <c r="W21" i="7" s="1"/>
  <c r="I13" i="7"/>
  <c r="W19" i="7" s="1"/>
  <c r="I12" i="7"/>
  <c r="W18" i="7" s="1"/>
  <c r="I11" i="7"/>
  <c r="W16" i="7" s="1"/>
  <c r="I10" i="7"/>
  <c r="W14" i="7" s="1"/>
  <c r="I9" i="7"/>
  <c r="W11" i="7" s="1"/>
  <c r="I8" i="7"/>
  <c r="I7" i="7"/>
  <c r="W8" i="7" s="1"/>
  <c r="F32" i="7"/>
  <c r="E32" i="7"/>
  <c r="D32" i="7"/>
  <c r="C32" i="7"/>
  <c r="F31" i="7"/>
  <c r="T13" i="7" s="1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Q8" i="7" s="1"/>
  <c r="F25" i="7"/>
  <c r="T7" i="7" s="1"/>
  <c r="E25" i="7"/>
  <c r="D25" i="7"/>
  <c r="C25" i="7"/>
  <c r="Q7" i="7" s="1"/>
  <c r="M1" i="7"/>
  <c r="K1" i="7"/>
  <c r="R8" i="7" l="1"/>
  <c r="R11" i="7"/>
  <c r="R7" i="7"/>
  <c r="R13" i="7"/>
  <c r="Z7" i="7"/>
  <c r="Y20" i="7"/>
  <c r="T9" i="7"/>
  <c r="T11" i="7"/>
  <c r="Q12" i="7"/>
  <c r="X7" i="7"/>
  <c r="K21" i="8"/>
  <c r="K24" i="8"/>
  <c r="J21" i="8"/>
  <c r="K22" i="8"/>
  <c r="L21" i="8"/>
  <c r="J22" i="8"/>
  <c r="L22" i="8"/>
  <c r="L24" i="8"/>
  <c r="K23" i="8"/>
  <c r="L23" i="8"/>
  <c r="J24" i="8"/>
  <c r="J23" i="8"/>
  <c r="T8" i="7"/>
  <c r="T10" i="7"/>
  <c r="T12" i="7"/>
  <c r="T14" i="7"/>
  <c r="Q11" i="7"/>
  <c r="X17" i="7"/>
  <c r="Y15" i="7"/>
  <c r="M3" i="8"/>
  <c r="Z10" i="7"/>
  <c r="Z15" i="7"/>
  <c r="D33" i="7"/>
  <c r="W17" i="7"/>
  <c r="L25" i="8"/>
  <c r="Y7" i="7"/>
  <c r="X20" i="7"/>
  <c r="E6" i="9"/>
  <c r="E7" i="9" s="1"/>
  <c r="J5" i="9"/>
  <c r="J6" i="9"/>
  <c r="J25" i="8"/>
  <c r="N25" i="8" s="1"/>
  <c r="I27" i="8"/>
  <c r="J26" i="8"/>
  <c r="K26" i="8"/>
  <c r="L26" i="8"/>
  <c r="Q4" i="9"/>
  <c r="O5" i="9"/>
  <c r="G42" i="9"/>
  <c r="O8" i="9" s="1"/>
  <c r="O9" i="9" s="1"/>
  <c r="Q6" i="9"/>
  <c r="G55" i="9"/>
  <c r="O1" i="9" s="1"/>
  <c r="H41" i="9"/>
  <c r="O6" i="9" s="1"/>
  <c r="O7" i="9" s="1"/>
  <c r="Q9" i="9"/>
  <c r="Q7" i="9"/>
  <c r="H54" i="9"/>
  <c r="O4" i="9" s="1"/>
  <c r="W22" i="8"/>
  <c r="M25" i="8" s="1"/>
  <c r="X16" i="7"/>
  <c r="Y17" i="7"/>
  <c r="Y9" i="7"/>
  <c r="Y11" i="7"/>
  <c r="Y13" i="7"/>
  <c r="Z17" i="7"/>
  <c r="Z19" i="7"/>
  <c r="J16" i="7"/>
  <c r="W7" i="7"/>
  <c r="W15" i="7"/>
  <c r="X9" i="7"/>
  <c r="Z11" i="7"/>
  <c r="S7" i="7"/>
  <c r="S8" i="7"/>
  <c r="S9" i="7"/>
  <c r="S10" i="7"/>
  <c r="S11" i="7"/>
  <c r="S12" i="7"/>
  <c r="S13" i="7"/>
  <c r="S14" i="7"/>
  <c r="Q9" i="7"/>
  <c r="Q13" i="7"/>
  <c r="R9" i="7"/>
  <c r="R12" i="7"/>
  <c r="R10" i="7"/>
  <c r="R14" i="7"/>
  <c r="W12" i="7"/>
  <c r="X10" i="7"/>
  <c r="X15" i="7"/>
  <c r="Q10" i="7"/>
  <c r="Q14" i="7"/>
  <c r="G26" i="7"/>
  <c r="G28" i="7"/>
  <c r="N10" i="7" s="1"/>
  <c r="G30" i="7"/>
  <c r="N12" i="7" s="1"/>
  <c r="G32" i="7"/>
  <c r="N14" i="7" s="1"/>
  <c r="E33" i="7"/>
  <c r="K16" i="7" s="1"/>
  <c r="F33" i="7"/>
  <c r="L16" i="7" s="1"/>
  <c r="G25" i="7"/>
  <c r="N7" i="7" s="1"/>
  <c r="G27" i="7"/>
  <c r="N9" i="7" s="1"/>
  <c r="G29" i="7"/>
  <c r="N11" i="7" s="1"/>
  <c r="G31" i="7"/>
  <c r="C33" i="7"/>
  <c r="I16" i="7" s="1"/>
  <c r="N24" i="8" l="1"/>
  <c r="M24" i="8"/>
  <c r="O24" i="8" s="1"/>
  <c r="J7" i="9"/>
  <c r="J9" i="9"/>
  <c r="J3" i="9" s="1"/>
  <c r="E9" i="9"/>
  <c r="E3" i="9" s="1"/>
  <c r="N22" i="8"/>
  <c r="M22" i="8"/>
  <c r="O22" i="8" s="1"/>
  <c r="N23" i="8"/>
  <c r="M23" i="8"/>
  <c r="N21" i="8"/>
  <c r="M21" i="8"/>
  <c r="O25" i="8"/>
  <c r="N26" i="8"/>
  <c r="M26" i="8"/>
  <c r="I28" i="8"/>
  <c r="J27" i="8"/>
  <c r="L27" i="8"/>
  <c r="K27" i="8"/>
  <c r="S2" i="9"/>
  <c r="S1" i="9"/>
  <c r="Q15" i="7"/>
  <c r="B3" i="3" s="1"/>
  <c r="N16" i="7"/>
  <c r="B4" i="3" s="1"/>
  <c r="N8" i="7"/>
  <c r="N13" i="7"/>
  <c r="G33" i="7"/>
  <c r="M2" i="7" s="1"/>
  <c r="B9" i="3" s="1"/>
  <c r="O21" i="8" l="1"/>
  <c r="G4" i="3"/>
  <c r="O23" i="8"/>
  <c r="M27" i="8"/>
  <c r="N27" i="8"/>
  <c r="I29" i="8"/>
  <c r="K28" i="8"/>
  <c r="L28" i="8"/>
  <c r="J28" i="8"/>
  <c r="O26" i="8"/>
  <c r="M3" i="9"/>
  <c r="W22" i="7"/>
  <c r="B5" i="3" s="1"/>
  <c r="N15" i="7"/>
  <c r="B6" i="3" s="1"/>
  <c r="Q3" i="1"/>
  <c r="O27" i="8" l="1"/>
  <c r="I30" i="8"/>
  <c r="K29" i="8"/>
  <c r="L29" i="8"/>
  <c r="J29" i="8"/>
  <c r="N28" i="8"/>
  <c r="M28" i="8"/>
  <c r="M2" i="9"/>
  <c r="M1" i="9"/>
  <c r="C41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N44" i="1" s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D49" i="1" s="1"/>
  <c r="L22" i="1"/>
  <c r="K22" i="1"/>
  <c r="J22" i="1"/>
  <c r="I22" i="1"/>
  <c r="L21" i="1"/>
  <c r="K21" i="1"/>
  <c r="J21" i="1"/>
  <c r="I21" i="1"/>
  <c r="L20" i="1"/>
  <c r="K20" i="1"/>
  <c r="J20" i="1"/>
  <c r="I20" i="1"/>
  <c r="L19" i="1"/>
  <c r="K19" i="1"/>
  <c r="J19" i="1"/>
  <c r="I19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L14" i="1"/>
  <c r="K14" i="1"/>
  <c r="J14" i="1"/>
  <c r="I14" i="1"/>
  <c r="L13" i="1"/>
  <c r="K13" i="1"/>
  <c r="J13" i="1"/>
  <c r="I13" i="1"/>
  <c r="L12" i="1"/>
  <c r="K12" i="1"/>
  <c r="J12" i="1"/>
  <c r="I12" i="1"/>
  <c r="L11" i="1"/>
  <c r="K11" i="1"/>
  <c r="J11" i="1"/>
  <c r="I11" i="1"/>
  <c r="L10" i="1"/>
  <c r="K10" i="1"/>
  <c r="J10" i="1"/>
  <c r="I10" i="1"/>
  <c r="L9" i="1"/>
  <c r="K9" i="1"/>
  <c r="J9" i="1"/>
  <c r="I9" i="1"/>
  <c r="L8" i="1"/>
  <c r="K8" i="1"/>
  <c r="J8" i="1"/>
  <c r="I8" i="1"/>
  <c r="F49" i="1" l="1"/>
  <c r="N43" i="1"/>
  <c r="N45" i="1"/>
  <c r="N47" i="1"/>
  <c r="E49" i="1"/>
  <c r="E36" i="1"/>
  <c r="E37" i="1" s="1"/>
  <c r="N42" i="1"/>
  <c r="N46" i="1"/>
  <c r="N48" i="1"/>
  <c r="M29" i="8"/>
  <c r="N29" i="8"/>
  <c r="O28" i="8"/>
  <c r="L30" i="8"/>
  <c r="K30" i="8"/>
  <c r="J30" i="8"/>
  <c r="H1" i="9"/>
  <c r="C1" i="9"/>
  <c r="K41" i="1"/>
  <c r="F36" i="1"/>
  <c r="F50" i="1" s="1"/>
  <c r="Q11" i="1"/>
  <c r="L43" i="1"/>
  <c r="G41" i="1"/>
  <c r="G43" i="1"/>
  <c r="G47" i="1"/>
  <c r="K43" i="1"/>
  <c r="K45" i="1"/>
  <c r="K47" i="1"/>
  <c r="N2" i="1"/>
  <c r="G42" i="1"/>
  <c r="G44" i="1"/>
  <c r="G46" i="1"/>
  <c r="G48" i="1"/>
  <c r="Q2" i="1"/>
  <c r="L42" i="1"/>
  <c r="L44" i="1"/>
  <c r="L45" i="1"/>
  <c r="L46" i="1"/>
  <c r="L47" i="1"/>
  <c r="L48" i="1"/>
  <c r="G45" i="1"/>
  <c r="K44" i="1"/>
  <c r="K46" i="1"/>
  <c r="K48" i="1"/>
  <c r="N41" i="1"/>
  <c r="M42" i="1"/>
  <c r="M43" i="1"/>
  <c r="M44" i="1"/>
  <c r="M45" i="1"/>
  <c r="M46" i="1"/>
  <c r="M47" i="1"/>
  <c r="M48" i="1"/>
  <c r="L41" i="1"/>
  <c r="C36" i="1"/>
  <c r="J28" i="1" s="1"/>
  <c r="M41" i="1"/>
  <c r="D36" i="1"/>
  <c r="K42" i="1"/>
  <c r="C49" i="1"/>
  <c r="C50" i="1" s="1"/>
  <c r="M1" i="4"/>
  <c r="M2" i="4"/>
  <c r="F46" i="4"/>
  <c r="V24" i="4" s="1"/>
  <c r="E46" i="4"/>
  <c r="U24" i="4" s="1"/>
  <c r="D46" i="4"/>
  <c r="T24" i="4" s="1"/>
  <c r="C46" i="4"/>
  <c r="F45" i="4"/>
  <c r="V23" i="4" s="1"/>
  <c r="E45" i="4"/>
  <c r="U23" i="4" s="1"/>
  <c r="D45" i="4"/>
  <c r="T23" i="4" s="1"/>
  <c r="C45" i="4"/>
  <c r="S23" i="4" s="1"/>
  <c r="F44" i="4"/>
  <c r="V22" i="4" s="1"/>
  <c r="E44" i="4"/>
  <c r="U22" i="4" s="1"/>
  <c r="D44" i="4"/>
  <c r="T22" i="4" s="1"/>
  <c r="C44" i="4"/>
  <c r="F43" i="4"/>
  <c r="V21" i="4" s="1"/>
  <c r="E43" i="4"/>
  <c r="U21" i="4" s="1"/>
  <c r="D43" i="4"/>
  <c r="T21" i="4" s="1"/>
  <c r="C43" i="4"/>
  <c r="S21" i="4" s="1"/>
  <c r="F42" i="4"/>
  <c r="E42" i="4"/>
  <c r="U20" i="4" s="1"/>
  <c r="D42" i="4"/>
  <c r="T20" i="4" s="1"/>
  <c r="C42" i="4"/>
  <c r="S20" i="4" s="1"/>
  <c r="F41" i="4"/>
  <c r="V19" i="4" s="1"/>
  <c r="E41" i="4"/>
  <c r="U19" i="4" s="1"/>
  <c r="D41" i="4"/>
  <c r="C41" i="4"/>
  <c r="S19" i="4" s="1"/>
  <c r="F40" i="4"/>
  <c r="E40" i="4"/>
  <c r="U18" i="4" s="1"/>
  <c r="D40" i="4"/>
  <c r="T18" i="4" s="1"/>
  <c r="C40" i="4"/>
  <c r="S18" i="4" s="1"/>
  <c r="F39" i="4"/>
  <c r="V17" i="4" s="1"/>
  <c r="E39" i="4"/>
  <c r="U17" i="4" s="1"/>
  <c r="D39" i="4"/>
  <c r="C39" i="4"/>
  <c r="S17" i="4" s="1"/>
  <c r="F38" i="4"/>
  <c r="V16" i="4" s="1"/>
  <c r="E38" i="4"/>
  <c r="U16" i="4" s="1"/>
  <c r="D38" i="4"/>
  <c r="T16" i="4" s="1"/>
  <c r="C38" i="4"/>
  <c r="F37" i="4"/>
  <c r="V15" i="4" s="1"/>
  <c r="E37" i="4"/>
  <c r="U15" i="4" s="1"/>
  <c r="D37" i="4"/>
  <c r="T15" i="4" s="1"/>
  <c r="C37" i="4"/>
  <c r="S15" i="4" s="1"/>
  <c r="F36" i="4"/>
  <c r="V14" i="4" s="1"/>
  <c r="E36" i="4"/>
  <c r="U14" i="4" s="1"/>
  <c r="D36" i="4"/>
  <c r="T14" i="4" s="1"/>
  <c r="C36" i="4"/>
  <c r="S14" i="4" s="1"/>
  <c r="F35" i="4"/>
  <c r="V13" i="4" s="1"/>
  <c r="E35" i="4"/>
  <c r="U13" i="4" s="1"/>
  <c r="D35" i="4"/>
  <c r="T13" i="4" s="1"/>
  <c r="C35" i="4"/>
  <c r="S13" i="4" s="1"/>
  <c r="F34" i="4"/>
  <c r="V12" i="4" s="1"/>
  <c r="E34" i="4"/>
  <c r="U12" i="4" s="1"/>
  <c r="D34" i="4"/>
  <c r="T12" i="4" s="1"/>
  <c r="C34" i="4"/>
  <c r="S12" i="4" s="1"/>
  <c r="F33" i="4"/>
  <c r="V11" i="4" s="1"/>
  <c r="E33" i="4"/>
  <c r="D33" i="4"/>
  <c r="T11" i="4" s="1"/>
  <c r="C33" i="4"/>
  <c r="S11" i="4" s="1"/>
  <c r="F32" i="4"/>
  <c r="E32" i="4"/>
  <c r="D32" i="4"/>
  <c r="C32" i="4"/>
  <c r="S10" i="4" s="1"/>
  <c r="G5" i="4"/>
  <c r="F27" i="4"/>
  <c r="E27" i="4"/>
  <c r="D27" i="4"/>
  <c r="C27" i="4"/>
  <c r="P24" i="4"/>
  <c r="O24" i="4"/>
  <c r="N24" i="4"/>
  <c r="M24" i="4"/>
  <c r="G24" i="4"/>
  <c r="P23" i="4"/>
  <c r="O23" i="4"/>
  <c r="N23" i="4"/>
  <c r="M23" i="4"/>
  <c r="G23" i="4"/>
  <c r="S22" i="4"/>
  <c r="P22" i="4"/>
  <c r="O22" i="4"/>
  <c r="N22" i="4"/>
  <c r="M22" i="4"/>
  <c r="G22" i="4"/>
  <c r="P21" i="4"/>
  <c r="O21" i="4"/>
  <c r="N21" i="4"/>
  <c r="M21" i="4"/>
  <c r="G21" i="4"/>
  <c r="P20" i="4"/>
  <c r="O20" i="4"/>
  <c r="N20" i="4"/>
  <c r="M20" i="4"/>
  <c r="G20" i="4"/>
  <c r="P19" i="4"/>
  <c r="O19" i="4"/>
  <c r="N19" i="4"/>
  <c r="M19" i="4"/>
  <c r="G19" i="4"/>
  <c r="P18" i="4"/>
  <c r="O18" i="4"/>
  <c r="N18" i="4"/>
  <c r="M18" i="4"/>
  <c r="G18" i="4"/>
  <c r="P17" i="4"/>
  <c r="O17" i="4"/>
  <c r="N17" i="4"/>
  <c r="M17" i="4"/>
  <c r="G17" i="4"/>
  <c r="P16" i="4"/>
  <c r="O16" i="4"/>
  <c r="N16" i="4"/>
  <c r="M16" i="4"/>
  <c r="G16" i="4"/>
  <c r="P15" i="4"/>
  <c r="O15" i="4"/>
  <c r="N15" i="4"/>
  <c r="M15" i="4"/>
  <c r="G15" i="4"/>
  <c r="P14" i="4"/>
  <c r="O14" i="4"/>
  <c r="N14" i="4"/>
  <c r="M14" i="4"/>
  <c r="G14" i="4"/>
  <c r="P13" i="4"/>
  <c r="O13" i="4"/>
  <c r="N13" i="4"/>
  <c r="M13" i="4"/>
  <c r="G13" i="4"/>
  <c r="P12" i="4"/>
  <c r="O12" i="4"/>
  <c r="N12" i="4"/>
  <c r="M12" i="4"/>
  <c r="G12" i="4"/>
  <c r="U11" i="4"/>
  <c r="P11" i="4"/>
  <c r="O11" i="4"/>
  <c r="N11" i="4"/>
  <c r="M11" i="4"/>
  <c r="G11" i="4"/>
  <c r="P10" i="4"/>
  <c r="O10" i="4"/>
  <c r="N10" i="4"/>
  <c r="M10" i="4"/>
  <c r="G10" i="4"/>
  <c r="E50" i="1" l="1"/>
  <c r="O2" i="4"/>
  <c r="H6" i="9"/>
  <c r="H5" i="9"/>
  <c r="E47" i="4"/>
  <c r="O29" i="8"/>
  <c r="N30" i="8"/>
  <c r="M30" i="8"/>
  <c r="C5" i="9"/>
  <c r="C6" i="9"/>
  <c r="U10" i="4"/>
  <c r="G38" i="4"/>
  <c r="G46" i="4"/>
  <c r="G34" i="4"/>
  <c r="G44" i="4"/>
  <c r="R44" i="4" s="1"/>
  <c r="S16" i="4"/>
  <c r="S24" i="4"/>
  <c r="J29" i="1"/>
  <c r="G49" i="1"/>
  <c r="F37" i="1"/>
  <c r="M35" i="1"/>
  <c r="D37" i="1"/>
  <c r="K28" i="1"/>
  <c r="K29" i="1"/>
  <c r="K3" i="1"/>
  <c r="G36" i="1"/>
  <c r="O5" i="1" s="1"/>
  <c r="C37" i="1"/>
  <c r="D50" i="1"/>
  <c r="H38" i="4"/>
  <c r="V18" i="4"/>
  <c r="T19" i="4"/>
  <c r="I6" i="4"/>
  <c r="V10" i="4"/>
  <c r="F47" i="4"/>
  <c r="G40" i="4"/>
  <c r="S40" i="4" s="1"/>
  <c r="V20" i="4"/>
  <c r="G32" i="4"/>
  <c r="G36" i="4"/>
  <c r="J14" i="4" s="1"/>
  <c r="S38" i="4"/>
  <c r="T17" i="4"/>
  <c r="G42" i="4"/>
  <c r="T10" i="4"/>
  <c r="D47" i="4"/>
  <c r="G33" i="4"/>
  <c r="G35" i="4"/>
  <c r="G37" i="4"/>
  <c r="J15" i="4" s="1"/>
  <c r="G39" i="4"/>
  <c r="Q40" i="4"/>
  <c r="G41" i="4"/>
  <c r="G43" i="4"/>
  <c r="G45" i="4"/>
  <c r="C47" i="4"/>
  <c r="D5" i="3"/>
  <c r="E4" i="3"/>
  <c r="H22" i="4" l="1"/>
  <c r="I4" i="3"/>
  <c r="H4" i="3"/>
  <c r="D6" i="3"/>
  <c r="E6" i="3" s="1"/>
  <c r="G5" i="3"/>
  <c r="G50" i="1"/>
  <c r="K2" i="1" s="1"/>
  <c r="H7" i="9"/>
  <c r="E48" i="4"/>
  <c r="E26" i="4"/>
  <c r="N44" i="4"/>
  <c r="N36" i="4"/>
  <c r="N45" i="4"/>
  <c r="N41" i="4"/>
  <c r="Q39" i="4"/>
  <c r="J17" i="4"/>
  <c r="N35" i="4"/>
  <c r="H16" i="4"/>
  <c r="J16" i="4"/>
  <c r="N42" i="4"/>
  <c r="N34" i="4"/>
  <c r="Q45" i="4"/>
  <c r="J23" i="4"/>
  <c r="Q41" i="4"/>
  <c r="J19" i="4"/>
  <c r="Q38" i="4"/>
  <c r="Q35" i="4"/>
  <c r="J13" i="4"/>
  <c r="R38" i="4"/>
  <c r="T40" i="4"/>
  <c r="J18" i="4"/>
  <c r="H44" i="4"/>
  <c r="J22" i="4"/>
  <c r="N46" i="4"/>
  <c r="N38" i="4"/>
  <c r="L38" i="4"/>
  <c r="C26" i="4"/>
  <c r="Q43" i="4"/>
  <c r="J21" i="4"/>
  <c r="N39" i="4"/>
  <c r="Q33" i="4"/>
  <c r="J11" i="4"/>
  <c r="E28" i="4"/>
  <c r="Q46" i="4"/>
  <c r="J24" i="4"/>
  <c r="N40" i="4"/>
  <c r="N32" i="4"/>
  <c r="N43" i="4"/>
  <c r="N37" i="4"/>
  <c r="N33" i="4"/>
  <c r="M46" i="4"/>
  <c r="D26" i="4"/>
  <c r="S42" i="4"/>
  <c r="J20" i="4"/>
  <c r="S32" i="4"/>
  <c r="J10" i="4"/>
  <c r="O42" i="4"/>
  <c r="F26" i="4"/>
  <c r="H12" i="4"/>
  <c r="J12" i="4"/>
  <c r="C7" i="9"/>
  <c r="C9" i="9" s="1"/>
  <c r="C2" i="9" s="1"/>
  <c r="T38" i="4"/>
  <c r="T34" i="4"/>
  <c r="O30" i="8"/>
  <c r="L33" i="4"/>
  <c r="L44" i="4"/>
  <c r="L32" i="4"/>
  <c r="O44" i="4"/>
  <c r="S34" i="4"/>
  <c r="T42" i="4"/>
  <c r="H34" i="4"/>
  <c r="L41" i="4"/>
  <c r="R46" i="4"/>
  <c r="R43" i="4"/>
  <c r="M36" i="4"/>
  <c r="H46" i="4"/>
  <c r="T32" i="4"/>
  <c r="L37" i="4"/>
  <c r="L46" i="4"/>
  <c r="Q34" i="4"/>
  <c r="L45" i="4"/>
  <c r="R34" i="4"/>
  <c r="T33" i="4"/>
  <c r="H24" i="4"/>
  <c r="S46" i="4"/>
  <c r="L36" i="4"/>
  <c r="L34" i="4"/>
  <c r="R45" i="4"/>
  <c r="T46" i="4"/>
  <c r="O39" i="4"/>
  <c r="O35" i="4"/>
  <c r="O40" i="4"/>
  <c r="S44" i="4"/>
  <c r="L43" i="4"/>
  <c r="L39" i="4"/>
  <c r="L35" i="4"/>
  <c r="Q44" i="4"/>
  <c r="L42" i="4"/>
  <c r="L40" i="4"/>
  <c r="T44" i="4"/>
  <c r="O46" i="4"/>
  <c r="S39" i="4"/>
  <c r="J4" i="3"/>
  <c r="C2" i="1"/>
  <c r="G37" i="1"/>
  <c r="Q12" i="1"/>
  <c r="D28" i="4"/>
  <c r="M44" i="4"/>
  <c r="M42" i="4"/>
  <c r="D48" i="4"/>
  <c r="M40" i="4"/>
  <c r="H14" i="4"/>
  <c r="H36" i="4"/>
  <c r="R36" i="4"/>
  <c r="R42" i="4"/>
  <c r="H20" i="4"/>
  <c r="H42" i="4"/>
  <c r="M35" i="4"/>
  <c r="G47" i="4"/>
  <c r="M3" i="4" s="1"/>
  <c r="H10" i="4"/>
  <c r="H32" i="4"/>
  <c r="R32" i="4"/>
  <c r="M38" i="4"/>
  <c r="M34" i="4"/>
  <c r="M41" i="4"/>
  <c r="C48" i="4"/>
  <c r="C28" i="4"/>
  <c r="H23" i="4"/>
  <c r="T45" i="4"/>
  <c r="H45" i="4"/>
  <c r="H21" i="4"/>
  <c r="T43" i="4"/>
  <c r="H43" i="4"/>
  <c r="H19" i="4"/>
  <c r="H41" i="4"/>
  <c r="T41" i="4"/>
  <c r="H17" i="4"/>
  <c r="H39" i="4"/>
  <c r="H15" i="4"/>
  <c r="H37" i="4"/>
  <c r="H13" i="4"/>
  <c r="H35" i="4"/>
  <c r="R35" i="4"/>
  <c r="H11" i="4"/>
  <c r="H33" i="4"/>
  <c r="M45" i="4"/>
  <c r="M43" i="4"/>
  <c r="T37" i="4"/>
  <c r="S35" i="4"/>
  <c r="M32" i="4"/>
  <c r="M39" i="4"/>
  <c r="R37" i="4"/>
  <c r="S41" i="4"/>
  <c r="S37" i="4"/>
  <c r="S33" i="4"/>
  <c r="S45" i="4"/>
  <c r="R41" i="4"/>
  <c r="M37" i="4"/>
  <c r="M33" i="4"/>
  <c r="Q42" i="4"/>
  <c r="Q36" i="4"/>
  <c r="Q32" i="4"/>
  <c r="Q37" i="4"/>
  <c r="R39" i="4"/>
  <c r="T36" i="4"/>
  <c r="R33" i="4"/>
  <c r="H18" i="4"/>
  <c r="H40" i="4"/>
  <c r="R40" i="4"/>
  <c r="T35" i="4"/>
  <c r="F48" i="4"/>
  <c r="O45" i="4"/>
  <c r="O43" i="4"/>
  <c r="F28" i="4"/>
  <c r="O38" i="4"/>
  <c r="O34" i="4"/>
  <c r="O37" i="4"/>
  <c r="O33" i="4"/>
  <c r="O41" i="4"/>
  <c r="O36" i="4"/>
  <c r="O32" i="4"/>
  <c r="S43" i="4"/>
  <c r="T39" i="4"/>
  <c r="S36" i="4"/>
  <c r="F5" i="3"/>
  <c r="E5" i="3"/>
  <c r="F6" i="3" l="1"/>
  <c r="I6" i="3" s="1"/>
  <c r="I5" i="3"/>
  <c r="H5" i="3"/>
  <c r="H8" i="9"/>
  <c r="H3" i="9" s="1"/>
  <c r="H9" i="9"/>
  <c r="H2" i="9" s="1"/>
  <c r="D7" i="3"/>
  <c r="E7" i="3" s="1"/>
  <c r="G6" i="3"/>
  <c r="I2" i="4"/>
  <c r="O3" i="4"/>
  <c r="I3" i="4"/>
  <c r="I1" i="4"/>
  <c r="C8" i="9"/>
  <c r="C3" i="9" s="1"/>
  <c r="G50" i="4"/>
  <c r="G48" i="4"/>
  <c r="E49" i="4" s="1"/>
  <c r="E50" i="4" s="1"/>
  <c r="K5" i="4"/>
  <c r="G49" i="4"/>
  <c r="H47" i="4"/>
  <c r="C49" i="4" s="1"/>
  <c r="C50" i="4" s="1"/>
  <c r="K1" i="4" s="1"/>
  <c r="G6" i="4"/>
  <c r="I5" i="4"/>
  <c r="F7" i="3"/>
  <c r="H6" i="3" l="1"/>
  <c r="J6" i="3"/>
  <c r="J5" i="3"/>
  <c r="D8" i="3"/>
  <c r="G7" i="3"/>
  <c r="I7" i="3" s="1"/>
  <c r="O6" i="4"/>
  <c r="O4" i="4"/>
  <c r="K2" i="4"/>
  <c r="C2" i="4" s="1"/>
  <c r="C4" i="4" s="1"/>
  <c r="F8" i="3"/>
  <c r="E8" i="3"/>
  <c r="Q14" i="1"/>
  <c r="O14" i="1"/>
  <c r="F23" i="1"/>
  <c r="E23" i="1"/>
  <c r="D23" i="1"/>
  <c r="C23" i="1"/>
  <c r="H7" i="3" l="1"/>
  <c r="J7" i="3" s="1"/>
  <c r="D9" i="3"/>
  <c r="F9" i="3" s="1"/>
  <c r="G8" i="3"/>
  <c r="I8" i="3" s="1"/>
  <c r="O1" i="4"/>
  <c r="C3" i="4"/>
  <c r="C1" i="4" s="1"/>
  <c r="G29" i="1"/>
  <c r="H42" i="1" s="1"/>
  <c r="G31" i="1"/>
  <c r="H44" i="1" s="1"/>
  <c r="G35" i="1"/>
  <c r="H48" i="1" s="1"/>
  <c r="O29" i="1"/>
  <c r="G32" i="1"/>
  <c r="G33" i="1"/>
  <c r="G30" i="1"/>
  <c r="G34" i="1"/>
  <c r="F24" i="1"/>
  <c r="G28" i="1"/>
  <c r="D24" i="1"/>
  <c r="H8" i="3" l="1"/>
  <c r="J8" i="3" s="1"/>
  <c r="E9" i="3"/>
  <c r="D10" i="3"/>
  <c r="F10" i="3" s="1"/>
  <c r="G9" i="3"/>
  <c r="I9" i="3" s="1"/>
  <c r="G1" i="4"/>
  <c r="G2" i="4"/>
  <c r="O28" i="1"/>
  <c r="H41" i="1"/>
  <c r="O34" i="1"/>
  <c r="H47" i="1"/>
  <c r="O30" i="1"/>
  <c r="H43" i="1"/>
  <c r="Q33" i="1"/>
  <c r="H46" i="1"/>
  <c r="Q29" i="1"/>
  <c r="P32" i="1"/>
  <c r="H45" i="1"/>
  <c r="H29" i="1"/>
  <c r="R29" i="1"/>
  <c r="P35" i="1"/>
  <c r="O31" i="1"/>
  <c r="H31" i="1"/>
  <c r="Q31" i="1"/>
  <c r="P29" i="1"/>
  <c r="P31" i="1"/>
  <c r="R31" i="1"/>
  <c r="H30" i="1"/>
  <c r="L28" i="1"/>
  <c r="E24" i="1"/>
  <c r="C24" i="1"/>
  <c r="H32" i="1"/>
  <c r="R35" i="1"/>
  <c r="H35" i="1"/>
  <c r="Q30" i="1"/>
  <c r="O35" i="1"/>
  <c r="R32" i="1"/>
  <c r="R33" i="1"/>
  <c r="P30" i="1"/>
  <c r="R30" i="1"/>
  <c r="J33" i="1"/>
  <c r="Q34" i="1"/>
  <c r="Q35" i="1"/>
  <c r="J35" i="1"/>
  <c r="O33" i="1"/>
  <c r="H33" i="1"/>
  <c r="J34" i="1"/>
  <c r="R34" i="1"/>
  <c r="P33" i="1"/>
  <c r="J32" i="1"/>
  <c r="J30" i="1"/>
  <c r="P34" i="1"/>
  <c r="H34" i="1"/>
  <c r="J31" i="1"/>
  <c r="O32" i="1"/>
  <c r="Q32" i="1"/>
  <c r="Q28" i="1"/>
  <c r="K35" i="1"/>
  <c r="K34" i="1"/>
  <c r="K33" i="1"/>
  <c r="K32" i="1"/>
  <c r="K31" i="1"/>
  <c r="K30" i="1"/>
  <c r="L35" i="1"/>
  <c r="L34" i="1"/>
  <c r="L33" i="1"/>
  <c r="L32" i="1"/>
  <c r="L31" i="1"/>
  <c r="L30" i="1"/>
  <c r="L29" i="1"/>
  <c r="H28" i="1"/>
  <c r="P28" i="1"/>
  <c r="M34" i="1"/>
  <c r="M33" i="1"/>
  <c r="M32" i="1"/>
  <c r="M31" i="1"/>
  <c r="M30" i="1"/>
  <c r="M29" i="1"/>
  <c r="M28" i="1"/>
  <c r="R28" i="1"/>
  <c r="H9" i="3" l="1"/>
  <c r="J9" i="3" s="1"/>
  <c r="E10" i="3"/>
  <c r="D11" i="3"/>
  <c r="G10" i="3"/>
  <c r="G3" i="4"/>
  <c r="Q10" i="1"/>
  <c r="G2" i="1" s="1"/>
  <c r="Q9" i="1"/>
  <c r="H49" i="1"/>
  <c r="N3" i="1" s="1"/>
  <c r="H36" i="1"/>
  <c r="Q5" i="1" s="1"/>
  <c r="Q6" i="1" s="1"/>
  <c r="Q7" i="1"/>
  <c r="Q8" i="1" s="1"/>
  <c r="G11" i="3" l="1"/>
  <c r="D12" i="3"/>
  <c r="F11" i="3"/>
  <c r="E11" i="3"/>
  <c r="I10" i="3"/>
  <c r="H10" i="3"/>
  <c r="C7" i="4"/>
  <c r="E1" i="4" s="1"/>
  <c r="C6" i="4"/>
  <c r="E2" i="4" s="1"/>
  <c r="E2" i="1"/>
  <c r="C3" i="1" s="1"/>
  <c r="J10" i="3" l="1"/>
  <c r="I11" i="3"/>
  <c r="H11" i="3"/>
  <c r="G12" i="3"/>
  <c r="F12" i="3"/>
  <c r="D13" i="3"/>
  <c r="E12" i="3"/>
  <c r="E3" i="1"/>
  <c r="G3" i="1"/>
  <c r="J11" i="3" l="1"/>
  <c r="F1" i="1"/>
  <c r="C1" i="8" s="1"/>
  <c r="C1" i="1"/>
  <c r="C1" i="7" s="1"/>
  <c r="I12" i="3"/>
  <c r="H12" i="3"/>
  <c r="G13" i="3"/>
  <c r="E13" i="3"/>
  <c r="F13" i="3"/>
  <c r="J12" i="3" l="1"/>
  <c r="I13" i="3"/>
  <c r="H13" i="3"/>
  <c r="I1" i="7"/>
  <c r="I2" i="7"/>
  <c r="I3" i="7"/>
  <c r="K3" i="7" s="1"/>
  <c r="I2" i="8"/>
  <c r="I1" i="8"/>
  <c r="I3" i="8"/>
  <c r="J13" i="3" l="1"/>
  <c r="G1" i="7"/>
  <c r="E1" i="7" s="1"/>
  <c r="G2" i="7"/>
  <c r="E2" i="7" s="1"/>
  <c r="K3" i="8"/>
  <c r="G1" i="8" l="1"/>
  <c r="E2" i="8" s="1"/>
  <c r="G2" i="8"/>
  <c r="E1" i="8" s="1"/>
</calcChain>
</file>

<file path=xl/sharedStrings.xml><?xml version="1.0" encoding="utf-8"?>
<sst xmlns="http://schemas.openxmlformats.org/spreadsheetml/2006/main" count="223" uniqueCount="41">
  <si>
    <t>Subject</t>
  </si>
  <si>
    <t>Rater1</t>
  </si>
  <si>
    <t>Rater2</t>
  </si>
  <si>
    <t>Rater3</t>
  </si>
  <si>
    <t>Rater4</t>
  </si>
  <si>
    <t>k3=</t>
  </si>
  <si>
    <t>k2=</t>
  </si>
  <si>
    <t>k1=</t>
  </si>
  <si>
    <t>k4=</t>
  </si>
  <si>
    <t>k5=</t>
  </si>
  <si>
    <t>n=</t>
  </si>
  <si>
    <t>k1'=</t>
  </si>
  <si>
    <t>k2'=</t>
  </si>
  <si>
    <t>k5'=</t>
  </si>
  <si>
    <t>r=</t>
  </si>
  <si>
    <t>ICC(2,1) =</t>
  </si>
  <si>
    <t xml:space="preserve">LCB = </t>
  </si>
  <si>
    <t>UCB=</t>
  </si>
  <si>
    <t>p-value</t>
  </si>
  <si>
    <t>M =</t>
  </si>
  <si>
    <t>ICCa(2,1) =</t>
  </si>
  <si>
    <t xml:space="preserve">F1 = </t>
  </si>
  <si>
    <t xml:space="preserve">F2 = </t>
  </si>
  <si>
    <t xml:space="preserve">Confidence Level: </t>
  </si>
  <si>
    <t xml:space="preserve">UCB = </t>
  </si>
  <si>
    <t>A =</t>
  </si>
  <si>
    <t>LCB =</t>
  </si>
  <si>
    <t>Conf. Lev.</t>
  </si>
  <si>
    <t>Calculation of P-values</t>
  </si>
  <si>
    <t xml:space="preserve">P-value = </t>
  </si>
  <si>
    <t xml:space="preserve">MSS = </t>
  </si>
  <si>
    <t xml:space="preserve">MSR = </t>
  </si>
  <si>
    <t xml:space="preserve">MSE = </t>
  </si>
  <si>
    <t xml:space="preserve">Confidence Level = </t>
  </si>
  <si>
    <t xml:space="preserve">Fobs = </t>
  </si>
  <si>
    <t xml:space="preserve"> </t>
  </si>
  <si>
    <t>P-value:</t>
  </si>
  <si>
    <t>a</t>
  </si>
  <si>
    <t>b</t>
  </si>
  <si>
    <t>c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</si>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</sst>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0000"/>
    <numFmt numFmtId="165" formatCode="#,##0.000"/>
    <numFmt numFmtId="167" formatCode="0.0000"/>
    <numFmt numFmtId="168" formatCode="#,##0.0"/>
    <numFmt numFmtId="169" formatCode="0.000"/>
    <numFmt numFmtId="170" formatCode="_(* #,##0.000_);_(* \(#,##0.000\);_(* &quot;-&quot;??_);_(@_)"/>
    <numFmt numFmtId="171" formatCode="#,##0.0000"/>
    <numFmt numFmtId="172" formatCode="_(* #,##0.0000_);_(* \(#,##0.0000\);_(* &quot;-&quot;??_);_(@_)"/>
    <numFmt numFmtId="173" formatCode="0.000E+00"/>
    <numFmt numFmtId="175" formatCode="0.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3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" fillId="4" borderId="11" xfId="0" applyFont="1" applyFill="1" applyBorder="1"/>
    <xf numFmtId="0" fontId="4" fillId="4" borderId="8" xfId="0" applyFont="1" applyFill="1" applyBorder="1"/>
    <xf numFmtId="0" fontId="0" fillId="0" borderId="13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2" xfId="0" applyBorder="1"/>
    <xf numFmtId="0" fontId="0" fillId="0" borderId="9" xfId="0" applyBorder="1"/>
    <xf numFmtId="0" fontId="0" fillId="2" borderId="15" xfId="0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2" borderId="3" xfId="0" applyFill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1" fillId="4" borderId="14" xfId="0" applyFont="1" applyFill="1" applyBorder="1" applyAlignment="1">
      <alignment horizontal="left"/>
    </xf>
    <xf numFmtId="165" fontId="1" fillId="4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5" borderId="15" xfId="0" applyFill="1" applyBorder="1"/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2" xfId="0" applyFill="1" applyBorder="1"/>
    <xf numFmtId="0" fontId="0" fillId="5" borderId="1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10" xfId="0" applyBorder="1"/>
    <xf numFmtId="4" fontId="0" fillId="0" borderId="2" xfId="0" applyNumberForma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43" fontId="0" fillId="0" borderId="0" xfId="1" applyFont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1" fillId="0" borderId="14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right"/>
    </xf>
    <xf numFmtId="0" fontId="1" fillId="8" borderId="1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right"/>
    </xf>
    <xf numFmtId="0" fontId="1" fillId="8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right"/>
    </xf>
    <xf numFmtId="0" fontId="1" fillId="8" borderId="3" xfId="0" applyFont="1" applyFill="1" applyBorder="1" applyAlignment="1">
      <alignment horizontal="left"/>
    </xf>
    <xf numFmtId="43" fontId="0" fillId="0" borderId="0" xfId="0" applyNumberFormat="1" applyAlignment="1">
      <alignment horizontal="center"/>
    </xf>
    <xf numFmtId="167" fontId="0" fillId="0" borderId="5" xfId="0" applyNumberFormat="1" applyBorder="1"/>
    <xf numFmtId="167" fontId="0" fillId="0" borderId="5" xfId="0" applyNumberFormat="1" applyBorder="1" applyAlignment="1">
      <alignment horizontal="center"/>
    </xf>
    <xf numFmtId="0" fontId="1" fillId="7" borderId="11" xfId="0" applyFont="1" applyFill="1" applyBorder="1"/>
    <xf numFmtId="0" fontId="1" fillId="7" borderId="14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right"/>
    </xf>
    <xf numFmtId="165" fontId="3" fillId="7" borderId="14" xfId="0" applyNumberFormat="1" applyFont="1" applyFill="1" applyBorder="1" applyAlignment="1">
      <alignment horizontal="left"/>
    </xf>
    <xf numFmtId="165" fontId="1" fillId="7" borderId="10" xfId="0" applyNumberFormat="1" applyFont="1" applyFill="1" applyBorder="1" applyAlignment="1">
      <alignment horizontal="center"/>
    </xf>
    <xf numFmtId="0" fontId="1" fillId="7" borderId="4" xfId="0" applyFont="1" applyFill="1" applyBorder="1"/>
    <xf numFmtId="165" fontId="1" fillId="7" borderId="1" xfId="0" applyNumberFormat="1" applyFont="1" applyFill="1" applyBorder="1" applyAlignment="1">
      <alignment horizontal="left"/>
    </xf>
    <xf numFmtId="0" fontId="1" fillId="7" borderId="1" xfId="0" applyFont="1" applyFill="1" applyBorder="1" applyAlignment="1">
      <alignment horizontal="right"/>
    </xf>
    <xf numFmtId="165" fontId="1" fillId="7" borderId="3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7" fillId="9" borderId="8" xfId="0" applyFont="1" applyFill="1" applyBorder="1"/>
    <xf numFmtId="2" fontId="0" fillId="0" borderId="0" xfId="0" applyNumberFormat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4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0" fontId="0" fillId="2" borderId="0" xfId="0" applyFill="1"/>
    <xf numFmtId="4" fontId="0" fillId="2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/>
    <xf numFmtId="4" fontId="0" fillId="0" borderId="0" xfId="0" applyNumberFormat="1" applyAlignment="1">
      <alignment horizontal="right"/>
    </xf>
    <xf numFmtId="4" fontId="0" fillId="5" borderId="0" xfId="0" applyNumberFormat="1" applyFill="1" applyBorder="1" applyAlignment="1">
      <alignment horizontal="center"/>
    </xf>
    <xf numFmtId="4" fontId="0" fillId="6" borderId="0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1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right"/>
    </xf>
    <xf numFmtId="165" fontId="7" fillId="10" borderId="16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horizontal="center" vertical="center"/>
    </xf>
    <xf numFmtId="165" fontId="0" fillId="2" borderId="0" xfId="0" applyNumberFormat="1" applyFill="1" applyAlignment="1">
      <alignment horizontal="right"/>
    </xf>
    <xf numFmtId="168" fontId="0" fillId="0" borderId="0" xfId="0" applyNumberFormat="1" applyBorder="1" applyAlignment="1">
      <alignment horizontal="center"/>
    </xf>
    <xf numFmtId="0" fontId="0" fillId="12" borderId="1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2" fillId="12" borderId="11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167" fontId="7" fillId="10" borderId="16" xfId="0" applyNumberFormat="1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165" fontId="1" fillId="11" borderId="10" xfId="0" applyNumberFormat="1" applyFont="1" applyFill="1" applyBorder="1" applyAlignment="1">
      <alignment horizontal="left"/>
    </xf>
    <xf numFmtId="165" fontId="1" fillId="11" borderId="2" xfId="0" applyNumberFormat="1" applyFont="1" applyFill="1" applyBorder="1" applyAlignment="1">
      <alignment horizontal="left"/>
    </xf>
    <xf numFmtId="0" fontId="1" fillId="11" borderId="3" xfId="0" applyFont="1" applyFill="1" applyBorder="1" applyAlignment="1">
      <alignment horizontal="left"/>
    </xf>
    <xf numFmtId="0" fontId="7" fillId="9" borderId="6" xfId="0" applyFont="1" applyFill="1" applyBorder="1"/>
    <xf numFmtId="4" fontId="0" fillId="5" borderId="4" xfId="0" applyNumberForma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21" xfId="0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0" fillId="5" borderId="23" xfId="0" applyFill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0" fillId="5" borderId="25" xfId="0" applyFill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5" borderId="2" xfId="1" applyFont="1" applyFill="1" applyBorder="1" applyAlignment="1">
      <alignment horizontal="center"/>
    </xf>
    <xf numFmtId="43" fontId="0" fillId="6" borderId="2" xfId="1" applyFont="1" applyFill="1" applyBorder="1" applyAlignment="1">
      <alignment horizontal="center"/>
    </xf>
    <xf numFmtId="43" fontId="0" fillId="5" borderId="3" xfId="1" applyFont="1" applyFill="1" applyBorder="1" applyAlignment="1">
      <alignment horizontal="center"/>
    </xf>
    <xf numFmtId="0" fontId="0" fillId="0" borderId="1" xfId="0" applyBorder="1" applyAlignment="1"/>
    <xf numFmtId="0" fontId="0" fillId="0" borderId="0" xfId="0" applyFill="1" applyBorder="1" applyAlignment="1"/>
    <xf numFmtId="43" fontId="0" fillId="0" borderId="0" xfId="0" applyNumberFormat="1" applyFill="1" applyBorder="1" applyAlignment="1"/>
    <xf numFmtId="0" fontId="0" fillId="0" borderId="0" xfId="0" applyBorder="1" applyAlignment="1">
      <alignment horizontal="center" vertical="center"/>
    </xf>
    <xf numFmtId="167" fontId="0" fillId="0" borderId="0" xfId="0" applyNumberFormat="1" applyBorder="1"/>
    <xf numFmtId="167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7" fillId="13" borderId="18" xfId="0" applyFont="1" applyFill="1" applyBorder="1" applyAlignment="1">
      <alignment horizontal="center" vertical="center"/>
    </xf>
    <xf numFmtId="0" fontId="7" fillId="13" borderId="19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171" fontId="0" fillId="0" borderId="33" xfId="0" applyNumberFormat="1" applyBorder="1" applyAlignment="1"/>
    <xf numFmtId="171" fontId="0" fillId="0" borderId="34" xfId="0" applyNumberFormat="1" applyBorder="1" applyAlignment="1"/>
    <xf numFmtId="171" fontId="0" fillId="0" borderId="36" xfId="0" applyNumberFormat="1" applyBorder="1" applyAlignment="1"/>
    <xf numFmtId="171" fontId="0" fillId="0" borderId="37" xfId="0" applyNumberFormat="1" applyBorder="1" applyAlignment="1"/>
    <xf numFmtId="171" fontId="0" fillId="0" borderId="39" xfId="0" applyNumberFormat="1" applyBorder="1" applyAlignment="1"/>
    <xf numFmtId="171" fontId="0" fillId="0" borderId="40" xfId="0" applyNumberFormat="1" applyBorder="1" applyAlignme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4" fillId="4" borderId="6" xfId="0" applyFont="1" applyFill="1" applyBorder="1" applyAlignment="1">
      <alignment horizontal="center"/>
    </xf>
    <xf numFmtId="0" fontId="1" fillId="4" borderId="5" xfId="0" applyFont="1" applyFill="1" applyBorder="1"/>
    <xf numFmtId="165" fontId="1" fillId="4" borderId="0" xfId="0" applyNumberFormat="1" applyFont="1" applyFill="1" applyBorder="1" applyAlignment="1">
      <alignment horizontal="left"/>
    </xf>
    <xf numFmtId="0" fontId="3" fillId="4" borderId="6" xfId="0" applyFont="1" applyFill="1" applyBorder="1" applyAlignment="1">
      <alignment horizontal="right" vertical="center"/>
    </xf>
    <xf numFmtId="172" fontId="0" fillId="0" borderId="1" xfId="1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72" fontId="0" fillId="0" borderId="3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3" borderId="10" xfId="0" applyFont="1" applyFill="1" applyBorder="1" applyAlignment="1">
      <alignment horizontal="right" indent="5"/>
    </xf>
    <xf numFmtId="0" fontId="1" fillId="3" borderId="3" xfId="0" applyFont="1" applyFill="1" applyBorder="1" applyAlignment="1">
      <alignment horizontal="right" indent="5"/>
    </xf>
    <xf numFmtId="0" fontId="1" fillId="3" borderId="14" xfId="0" applyFont="1" applyFill="1" applyBorder="1" applyAlignment="1">
      <alignment horizontal="right" indent="5"/>
    </xf>
    <xf numFmtId="0" fontId="1" fillId="3" borderId="1" xfId="0" applyFont="1" applyFill="1" applyBorder="1" applyAlignment="1">
      <alignment horizontal="right" indent="5"/>
    </xf>
    <xf numFmtId="0" fontId="1" fillId="3" borderId="7" xfId="0" applyFont="1" applyFill="1" applyBorder="1" applyAlignment="1">
      <alignment horizontal="right" indent="5"/>
    </xf>
    <xf numFmtId="0" fontId="0" fillId="2" borderId="9" xfId="0" applyFill="1" applyBorder="1" applyAlignment="1">
      <alignment horizontal="center"/>
    </xf>
    <xf numFmtId="0" fontId="0" fillId="2" borderId="12" xfId="0" applyFill="1" applyBorder="1"/>
    <xf numFmtId="0" fontId="3" fillId="4" borderId="14" xfId="0" applyFont="1" applyFill="1" applyBorder="1" applyAlignment="1">
      <alignment horizontal="right" vertical="center"/>
    </xf>
    <xf numFmtId="0" fontId="0" fillId="4" borderId="4" xfId="0" applyFill="1" applyBorder="1"/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/>
    <xf numFmtId="43" fontId="0" fillId="0" borderId="0" xfId="1" applyFont="1" applyFill="1" applyAlignment="1">
      <alignment horizontal="center"/>
    </xf>
    <xf numFmtId="4" fontId="0" fillId="0" borderId="0" xfId="0" applyNumberFormat="1" applyAlignment="1"/>
    <xf numFmtId="0" fontId="0" fillId="11" borderId="9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167" fontId="0" fillId="7" borderId="3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" fillId="4" borderId="0" xfId="0" applyFont="1" applyFill="1" applyBorder="1" applyAlignment="1">
      <alignment horizontal="right"/>
    </xf>
    <xf numFmtId="0" fontId="7" fillId="9" borderId="0" xfId="0" applyFont="1" applyFill="1" applyBorder="1" applyAlignment="1"/>
    <xf numFmtId="0" fontId="1" fillId="0" borderId="5" xfId="0" applyFont="1" applyFill="1" applyBorder="1" applyAlignment="1">
      <alignment horizontal="right"/>
    </xf>
    <xf numFmtId="0" fontId="1" fillId="5" borderId="11" xfId="0" applyFont="1" applyFill="1" applyBorder="1" applyAlignment="1">
      <alignment horizontal="right"/>
    </xf>
    <xf numFmtId="0" fontId="1" fillId="5" borderId="10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0" fillId="9" borderId="0" xfId="0" applyFill="1" applyAlignment="1">
      <alignment horizontal="center"/>
    </xf>
    <xf numFmtId="0" fontId="1" fillId="7" borderId="11" xfId="0" applyFont="1" applyFill="1" applyBorder="1" applyAlignment="1">
      <alignment horizontal="right"/>
    </xf>
    <xf numFmtId="0" fontId="0" fillId="7" borderId="10" xfId="0" applyFill="1" applyBorder="1" applyAlignment="1">
      <alignment horizontal="center"/>
    </xf>
    <xf numFmtId="0" fontId="1" fillId="7" borderId="4" xfId="0" applyFont="1" applyFill="1" applyBorder="1" applyAlignment="1">
      <alignment horizontal="right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/>
    <xf numFmtId="0" fontId="1" fillId="7" borderId="4" xfId="0" applyFont="1" applyFill="1" applyBorder="1" applyAlignment="1">
      <alignment horizontal="center"/>
    </xf>
    <xf numFmtId="0" fontId="1" fillId="0" borderId="11" xfId="0" applyFont="1" applyFill="1" applyBorder="1"/>
    <xf numFmtId="170" fontId="0" fillId="0" borderId="10" xfId="0" applyNumberFormat="1" applyFill="1" applyBorder="1" applyAlignment="1">
      <alignment horizontal="center"/>
    </xf>
    <xf numFmtId="43" fontId="0" fillId="0" borderId="3" xfId="0" applyNumberFormat="1" applyBorder="1" applyAlignment="1"/>
    <xf numFmtId="43" fontId="0" fillId="0" borderId="3" xfId="0" applyNumberFormat="1" applyBorder="1" applyAlignment="1">
      <alignment horizontal="center"/>
    </xf>
    <xf numFmtId="0" fontId="2" fillId="7" borderId="3" xfId="0" applyFont="1" applyFill="1" applyBorder="1"/>
    <xf numFmtId="0" fontId="2" fillId="7" borderId="3" xfId="0" applyFont="1" applyFill="1" applyBorder="1" applyAlignment="1">
      <alignment horizontal="center"/>
    </xf>
    <xf numFmtId="172" fontId="8" fillId="4" borderId="7" xfId="0" applyNumberFormat="1" applyFont="1" applyFill="1" applyBorder="1" applyAlignment="1">
      <alignment horizontal="center"/>
    </xf>
    <xf numFmtId="171" fontId="3" fillId="4" borderId="10" xfId="0" applyNumberFormat="1" applyFont="1" applyFill="1" applyBorder="1" applyAlignment="1">
      <alignment horizontal="right"/>
    </xf>
    <xf numFmtId="43" fontId="0" fillId="0" borderId="0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15" borderId="8" xfId="0" applyFont="1" applyFill="1" applyBorder="1"/>
    <xf numFmtId="173" fontId="1" fillId="15" borderId="7" xfId="0" applyNumberFormat="1" applyFont="1" applyFill="1" applyBorder="1" applyAlignment="1">
      <alignment horizontal="center"/>
    </xf>
    <xf numFmtId="0" fontId="0" fillId="12" borderId="11" xfId="0" applyFill="1" applyBorder="1"/>
    <xf numFmtId="0" fontId="0" fillId="12" borderId="10" xfId="0" applyFill="1" applyBorder="1" applyAlignment="1">
      <alignment horizontal="center"/>
    </xf>
    <xf numFmtId="0" fontId="0" fillId="12" borderId="5" xfId="0" applyFill="1" applyBorder="1"/>
    <xf numFmtId="0" fontId="0" fillId="12" borderId="2" xfId="0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0" fillId="12" borderId="4" xfId="0" applyFont="1" applyFill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5" borderId="13" xfId="0" applyFill="1" applyBorder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72" fontId="1" fillId="7" borderId="10" xfId="0" applyNumberFormat="1" applyFont="1" applyFill="1" applyBorder="1" applyAlignment="1">
      <alignment horizontal="right"/>
    </xf>
    <xf numFmtId="172" fontId="1" fillId="7" borderId="3" xfId="0" applyNumberFormat="1" applyFont="1" applyFill="1" applyBorder="1" applyAlignment="1">
      <alignment horizontal="right"/>
    </xf>
    <xf numFmtId="0" fontId="0" fillId="5" borderId="23" xfId="0" applyFill="1" applyBorder="1"/>
    <xf numFmtId="0" fontId="0" fillId="5" borderId="18" xfId="0" applyFill="1" applyBorder="1"/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14" borderId="23" xfId="0" applyFill="1" applyBorder="1"/>
    <xf numFmtId="0" fontId="0" fillId="14" borderId="0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/>
    <xf numFmtId="0" fontId="0" fillId="14" borderId="26" xfId="0" applyFill="1" applyBorder="1" applyAlignment="1">
      <alignment horizontal="center"/>
    </xf>
    <xf numFmtId="0" fontId="0" fillId="14" borderId="27" xfId="0" applyFill="1" applyBorder="1" applyAlignment="1">
      <alignment horizontal="center"/>
    </xf>
    <xf numFmtId="170" fontId="0" fillId="0" borderId="0" xfId="1" applyNumberFormat="1" applyFont="1" applyAlignment="1">
      <alignment horizontal="center"/>
    </xf>
    <xf numFmtId="172" fontId="0" fillId="12" borderId="3" xfId="0" applyNumberFormat="1" applyFont="1" applyFill="1" applyBorder="1" applyAlignment="1">
      <alignment horizontal="center"/>
    </xf>
    <xf numFmtId="167" fontId="0" fillId="12" borderId="2" xfId="0" applyNumberFormat="1" applyFill="1" applyBorder="1" applyAlignment="1">
      <alignment horizontal="center"/>
    </xf>
    <xf numFmtId="164" fontId="0" fillId="0" borderId="2" xfId="0" applyNumberFormat="1" applyBorder="1"/>
    <xf numFmtId="164" fontId="0" fillId="0" borderId="2" xfId="0" applyNumberFormat="1" applyBorder="1" applyAlignment="1"/>
    <xf numFmtId="164" fontId="0" fillId="0" borderId="3" xfId="0" applyNumberFormat="1" applyBorder="1" applyAlignment="1"/>
    <xf numFmtId="164" fontId="0" fillId="0" borderId="2" xfId="0" applyNumberFormat="1" applyBorder="1" applyAlignment="1">
      <alignment horizontal="right"/>
    </xf>
    <xf numFmtId="164" fontId="0" fillId="0" borderId="2" xfId="0" applyNumberFormat="1" applyBorder="1" applyAlignment="1">
      <alignment horizontal="right" vertical="center"/>
    </xf>
    <xf numFmtId="0" fontId="2" fillId="5" borderId="2" xfId="0" applyFon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right"/>
    </xf>
    <xf numFmtId="164" fontId="7" fillId="9" borderId="6" xfId="0" applyNumberFormat="1" applyFont="1" applyFill="1" applyBorder="1" applyAlignment="1">
      <alignment horizontal="right"/>
    </xf>
    <xf numFmtId="172" fontId="0" fillId="7" borderId="10" xfId="0" applyNumberForma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175" fontId="7" fillId="9" borderId="6" xfId="0" applyNumberFormat="1" applyFont="1" applyFill="1" applyBorder="1" applyAlignment="1">
      <alignment horizontal="center"/>
    </xf>
    <xf numFmtId="164" fontId="7" fillId="9" borderId="6" xfId="0" applyNumberFormat="1" applyFont="1" applyFill="1" applyBorder="1" applyAlignment="1">
      <alignment horizontal="center"/>
    </xf>
    <xf numFmtId="0" fontId="11" fillId="0" borderId="0" xfId="0" applyFont="1"/>
    <xf numFmtId="167" fontId="11" fillId="0" borderId="0" xfId="0" applyNumberFormat="1" applyFont="1"/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167" fontId="11" fillId="0" borderId="13" xfId="0" applyNumberFormat="1" applyFont="1" applyBorder="1"/>
    <xf numFmtId="167" fontId="11" fillId="0" borderId="13" xfId="0" applyNumberFormat="1" applyFont="1" applyBorder="1" applyAlignment="1">
      <alignment horizontal="center"/>
    </xf>
    <xf numFmtId="167" fontId="11" fillId="0" borderId="13" xfId="0" applyNumberFormat="1" applyFont="1" applyBorder="1" applyAlignment="1">
      <alignment horizontal="right"/>
    </xf>
    <xf numFmtId="167" fontId="12" fillId="0" borderId="13" xfId="0" applyNumberFormat="1" applyFont="1" applyBorder="1"/>
    <xf numFmtId="167" fontId="12" fillId="0" borderId="13" xfId="0" applyNumberFormat="1" applyFont="1" applyBorder="1" applyAlignment="1">
      <alignment horizontal="center"/>
    </xf>
    <xf numFmtId="167" fontId="12" fillId="0" borderId="13" xfId="0" applyNumberFormat="1" applyFont="1" applyBorder="1" applyAlignment="1">
      <alignment horizontal="right"/>
    </xf>
    <xf numFmtId="0" fontId="11" fillId="8" borderId="13" xfId="0" applyFont="1" applyFill="1" applyBorder="1"/>
    <xf numFmtId="0" fontId="10" fillId="8" borderId="13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right"/>
    </xf>
    <xf numFmtId="0" fontId="11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43" fontId="11" fillId="0" borderId="0" xfId="1" applyFont="1"/>
    <xf numFmtId="0" fontId="11" fillId="0" borderId="0" xfId="0" applyFont="1" applyAlignment="1">
      <alignment horizontal="right"/>
    </xf>
    <xf numFmtId="3" fontId="0" fillId="8" borderId="29" xfId="0" applyNumberFormat="1" applyFill="1" applyBorder="1" applyAlignment="1">
      <alignment horizontal="center"/>
    </xf>
    <xf numFmtId="3" fontId="1" fillId="8" borderId="30" xfId="0" applyNumberFormat="1" applyFont="1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3" fontId="9" fillId="8" borderId="30" xfId="0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/>
    </xf>
    <xf numFmtId="0" fontId="0" fillId="8" borderId="28" xfId="0" applyFill="1" applyBorder="1"/>
    <xf numFmtId="0" fontId="0" fillId="8" borderId="0" xfId="0" applyFill="1" applyBorder="1"/>
    <xf numFmtId="0" fontId="0" fillId="8" borderId="0" xfId="0" applyFill="1" applyBorder="1" applyAlignment="1">
      <alignment horizontal="center" vertical="center"/>
    </xf>
    <xf numFmtId="0" fontId="5" fillId="8" borderId="24" xfId="0" applyFont="1" applyFill="1" applyBorder="1" applyAlignment="1">
      <alignment horizontal="right"/>
    </xf>
    <xf numFmtId="0" fontId="0" fillId="8" borderId="32" xfId="0" applyFill="1" applyBorder="1" applyAlignment="1">
      <alignment horizontal="center"/>
    </xf>
    <xf numFmtId="0" fontId="0" fillId="8" borderId="35" xfId="0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0" fillId="8" borderId="38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13" Type="http://schemas.openxmlformats.org/officeDocument/2006/relationships/image" Target="../media/image38.png"/><Relationship Id="rId18" Type="http://schemas.openxmlformats.org/officeDocument/2006/relationships/image" Target="../media/image43.png"/><Relationship Id="rId3" Type="http://schemas.openxmlformats.org/officeDocument/2006/relationships/image" Target="../media/image9.png"/><Relationship Id="rId21" Type="http://schemas.openxmlformats.org/officeDocument/2006/relationships/image" Target="../media/image46.png"/><Relationship Id="rId7" Type="http://schemas.openxmlformats.org/officeDocument/2006/relationships/image" Target="../media/image32.png"/><Relationship Id="rId12" Type="http://schemas.openxmlformats.org/officeDocument/2006/relationships/image" Target="../media/image37.png"/><Relationship Id="rId17" Type="http://schemas.openxmlformats.org/officeDocument/2006/relationships/image" Target="../media/image42.png"/><Relationship Id="rId2" Type="http://schemas.openxmlformats.org/officeDocument/2006/relationships/image" Target="../media/image8.png"/><Relationship Id="rId16" Type="http://schemas.openxmlformats.org/officeDocument/2006/relationships/image" Target="../media/image41.png"/><Relationship Id="rId20" Type="http://schemas.openxmlformats.org/officeDocument/2006/relationships/image" Target="../media/image45.png"/><Relationship Id="rId1" Type="http://schemas.openxmlformats.org/officeDocument/2006/relationships/image" Target="../media/image1.png"/><Relationship Id="rId6" Type="http://schemas.openxmlformats.org/officeDocument/2006/relationships/image" Target="../media/image31.png"/><Relationship Id="rId11" Type="http://schemas.openxmlformats.org/officeDocument/2006/relationships/image" Target="../media/image36.png"/><Relationship Id="rId5" Type="http://schemas.openxmlformats.org/officeDocument/2006/relationships/image" Target="../media/image30.png"/><Relationship Id="rId15" Type="http://schemas.openxmlformats.org/officeDocument/2006/relationships/image" Target="../media/image40.png"/><Relationship Id="rId10" Type="http://schemas.openxmlformats.org/officeDocument/2006/relationships/image" Target="../media/image35.png"/><Relationship Id="rId19" Type="http://schemas.openxmlformats.org/officeDocument/2006/relationships/image" Target="../media/image44.png"/><Relationship Id="rId4" Type="http://schemas.openxmlformats.org/officeDocument/2006/relationships/image" Target="../media/image29.png"/><Relationship Id="rId9" Type="http://schemas.openxmlformats.org/officeDocument/2006/relationships/image" Target="../media/image34.png"/><Relationship Id="rId14" Type="http://schemas.openxmlformats.org/officeDocument/2006/relationships/image" Target="../media/image39.png"/><Relationship Id="rId22" Type="http://schemas.openxmlformats.org/officeDocument/2006/relationships/image" Target="../media/image4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0.png"/><Relationship Id="rId7" Type="http://schemas.openxmlformats.org/officeDocument/2006/relationships/image" Target="../media/image54.png"/><Relationship Id="rId2" Type="http://schemas.openxmlformats.org/officeDocument/2006/relationships/image" Target="../media/image49.png"/><Relationship Id="rId1" Type="http://schemas.openxmlformats.org/officeDocument/2006/relationships/image" Target="../media/image48.png"/><Relationship Id="rId6" Type="http://schemas.openxmlformats.org/officeDocument/2006/relationships/image" Target="../media/image53.png"/><Relationship Id="rId5" Type="http://schemas.openxmlformats.org/officeDocument/2006/relationships/image" Target="../media/image52.png"/><Relationship Id="rId4" Type="http://schemas.openxmlformats.org/officeDocument/2006/relationships/image" Target="../media/image5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png"/><Relationship Id="rId13" Type="http://schemas.openxmlformats.org/officeDocument/2006/relationships/image" Target="../media/image38.png"/><Relationship Id="rId18" Type="http://schemas.openxmlformats.org/officeDocument/2006/relationships/image" Target="../media/image43.png"/><Relationship Id="rId26" Type="http://schemas.openxmlformats.org/officeDocument/2006/relationships/image" Target="../media/image58.png"/><Relationship Id="rId3" Type="http://schemas.openxmlformats.org/officeDocument/2006/relationships/image" Target="../media/image9.png"/><Relationship Id="rId21" Type="http://schemas.openxmlformats.org/officeDocument/2006/relationships/image" Target="../media/image46.png"/><Relationship Id="rId7" Type="http://schemas.openxmlformats.org/officeDocument/2006/relationships/image" Target="../media/image32.png"/><Relationship Id="rId12" Type="http://schemas.openxmlformats.org/officeDocument/2006/relationships/image" Target="../media/image37.png"/><Relationship Id="rId17" Type="http://schemas.openxmlformats.org/officeDocument/2006/relationships/image" Target="../media/image42.png"/><Relationship Id="rId25" Type="http://schemas.openxmlformats.org/officeDocument/2006/relationships/image" Target="../media/image57.png"/><Relationship Id="rId2" Type="http://schemas.openxmlformats.org/officeDocument/2006/relationships/image" Target="../media/image8.png"/><Relationship Id="rId16" Type="http://schemas.openxmlformats.org/officeDocument/2006/relationships/image" Target="../media/image41.png"/><Relationship Id="rId20" Type="http://schemas.openxmlformats.org/officeDocument/2006/relationships/image" Target="../media/image45.png"/><Relationship Id="rId1" Type="http://schemas.openxmlformats.org/officeDocument/2006/relationships/image" Target="../media/image1.png"/><Relationship Id="rId6" Type="http://schemas.openxmlformats.org/officeDocument/2006/relationships/image" Target="../media/image31.png"/><Relationship Id="rId11" Type="http://schemas.openxmlformats.org/officeDocument/2006/relationships/image" Target="../media/image36.png"/><Relationship Id="rId24" Type="http://schemas.openxmlformats.org/officeDocument/2006/relationships/image" Target="../media/image56.png"/><Relationship Id="rId5" Type="http://schemas.openxmlformats.org/officeDocument/2006/relationships/image" Target="../media/image30.png"/><Relationship Id="rId15" Type="http://schemas.openxmlformats.org/officeDocument/2006/relationships/image" Target="../media/image40.png"/><Relationship Id="rId23" Type="http://schemas.openxmlformats.org/officeDocument/2006/relationships/image" Target="../media/image55.png"/><Relationship Id="rId28" Type="http://schemas.openxmlformats.org/officeDocument/2006/relationships/image" Target="../media/image60.png"/><Relationship Id="rId10" Type="http://schemas.openxmlformats.org/officeDocument/2006/relationships/image" Target="../media/image35.png"/><Relationship Id="rId19" Type="http://schemas.openxmlformats.org/officeDocument/2006/relationships/image" Target="../media/image44.png"/><Relationship Id="rId4" Type="http://schemas.openxmlformats.org/officeDocument/2006/relationships/image" Target="../media/image29.png"/><Relationship Id="rId9" Type="http://schemas.openxmlformats.org/officeDocument/2006/relationships/image" Target="../media/image34.png"/><Relationship Id="rId14" Type="http://schemas.openxmlformats.org/officeDocument/2006/relationships/image" Target="../media/image39.png"/><Relationship Id="rId22" Type="http://schemas.openxmlformats.org/officeDocument/2006/relationships/image" Target="../media/image47.png"/><Relationship Id="rId27" Type="http://schemas.openxmlformats.org/officeDocument/2006/relationships/image" Target="../media/image59.png"/></Relationships>
</file>

<file path=xl/drawings/_rels/drawing5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png"/><Relationship Id="rId18" Type="http://schemas.openxmlformats.org/officeDocument/2006/relationships/image" Target="../media/image66.png"/><Relationship Id="rId26" Type="http://schemas.openxmlformats.org/officeDocument/2006/relationships/image" Target="../media/image73.png"/><Relationship Id="rId39" Type="http://schemas.openxmlformats.org/officeDocument/2006/relationships/image" Target="../media/image84.png"/><Relationship Id="rId21" Type="http://schemas.openxmlformats.org/officeDocument/2006/relationships/image" Target="../media/image69.png"/><Relationship Id="rId34" Type="http://schemas.openxmlformats.org/officeDocument/2006/relationships/image" Target="../media/image80.png"/><Relationship Id="rId42" Type="http://schemas.openxmlformats.org/officeDocument/2006/relationships/image" Target="../media/image87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6" Type="http://schemas.openxmlformats.org/officeDocument/2006/relationships/image" Target="../media/image64.png"/><Relationship Id="rId20" Type="http://schemas.openxmlformats.org/officeDocument/2006/relationships/image" Target="../media/image68.png"/><Relationship Id="rId29" Type="http://schemas.openxmlformats.org/officeDocument/2006/relationships/image" Target="../media/image76.png"/><Relationship Id="rId41" Type="http://schemas.openxmlformats.org/officeDocument/2006/relationships/image" Target="../media/image86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10.png"/><Relationship Id="rId24" Type="http://schemas.openxmlformats.org/officeDocument/2006/relationships/image" Target="../media/image71.png"/><Relationship Id="rId32" Type="http://schemas.openxmlformats.org/officeDocument/2006/relationships/image" Target="../media/image78.png"/><Relationship Id="rId37" Type="http://schemas.openxmlformats.org/officeDocument/2006/relationships/image" Target="../media/image83.png"/><Relationship Id="rId40" Type="http://schemas.openxmlformats.org/officeDocument/2006/relationships/image" Target="../media/image85.png"/><Relationship Id="rId5" Type="http://schemas.openxmlformats.org/officeDocument/2006/relationships/image" Target="../media/image63.png"/><Relationship Id="rId15" Type="http://schemas.openxmlformats.org/officeDocument/2006/relationships/image" Target="../media/image17.png"/><Relationship Id="rId23" Type="http://schemas.openxmlformats.org/officeDocument/2006/relationships/image" Target="../media/image70.png"/><Relationship Id="rId28" Type="http://schemas.openxmlformats.org/officeDocument/2006/relationships/image" Target="../media/image75.png"/><Relationship Id="rId36" Type="http://schemas.openxmlformats.org/officeDocument/2006/relationships/image" Target="../media/image82.png"/><Relationship Id="rId10" Type="http://schemas.openxmlformats.org/officeDocument/2006/relationships/image" Target="../media/image9.png"/><Relationship Id="rId19" Type="http://schemas.openxmlformats.org/officeDocument/2006/relationships/image" Target="../media/image67.png"/><Relationship Id="rId31" Type="http://schemas.openxmlformats.org/officeDocument/2006/relationships/image" Target="../media/image53.png"/><Relationship Id="rId4" Type="http://schemas.openxmlformats.org/officeDocument/2006/relationships/image" Target="../media/image62.png"/><Relationship Id="rId9" Type="http://schemas.openxmlformats.org/officeDocument/2006/relationships/image" Target="../media/image8.png"/><Relationship Id="rId14" Type="http://schemas.openxmlformats.org/officeDocument/2006/relationships/image" Target="../media/image16.png"/><Relationship Id="rId22" Type="http://schemas.openxmlformats.org/officeDocument/2006/relationships/image" Target="../media/image49.png"/><Relationship Id="rId27" Type="http://schemas.openxmlformats.org/officeDocument/2006/relationships/image" Target="../media/image74.png"/><Relationship Id="rId30" Type="http://schemas.openxmlformats.org/officeDocument/2006/relationships/image" Target="../media/image77.png"/><Relationship Id="rId35" Type="http://schemas.openxmlformats.org/officeDocument/2006/relationships/image" Target="../media/image81.png"/><Relationship Id="rId8" Type="http://schemas.openxmlformats.org/officeDocument/2006/relationships/image" Target="../media/image7.png"/><Relationship Id="rId3" Type="http://schemas.openxmlformats.org/officeDocument/2006/relationships/image" Target="../media/image61.png"/><Relationship Id="rId12" Type="http://schemas.openxmlformats.org/officeDocument/2006/relationships/image" Target="../media/image11.png"/><Relationship Id="rId17" Type="http://schemas.openxmlformats.org/officeDocument/2006/relationships/image" Target="../media/image65.png"/><Relationship Id="rId25" Type="http://schemas.openxmlformats.org/officeDocument/2006/relationships/image" Target="../media/image72.png"/><Relationship Id="rId33" Type="http://schemas.openxmlformats.org/officeDocument/2006/relationships/image" Target="../media/image79.png"/><Relationship Id="rId38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8.png"/><Relationship Id="rId18" Type="http://schemas.openxmlformats.org/officeDocument/2006/relationships/image" Target="../media/image23.png"/><Relationship Id="rId26" Type="http://schemas.openxmlformats.org/officeDocument/2006/relationships/image" Target="../media/image89.png"/><Relationship Id="rId39" Type="http://schemas.openxmlformats.org/officeDocument/2006/relationships/image" Target="../media/image97.png"/><Relationship Id="rId21" Type="http://schemas.openxmlformats.org/officeDocument/2006/relationships/image" Target="../media/image26.png"/><Relationship Id="rId34" Type="http://schemas.openxmlformats.org/officeDocument/2006/relationships/image" Target="../media/image42.png"/><Relationship Id="rId42" Type="http://schemas.openxmlformats.org/officeDocument/2006/relationships/image" Target="../media/image79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6" Type="http://schemas.openxmlformats.org/officeDocument/2006/relationships/image" Target="../media/image21.png"/><Relationship Id="rId29" Type="http://schemas.openxmlformats.org/officeDocument/2006/relationships/image" Target="../media/image48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11" Type="http://schemas.openxmlformats.org/officeDocument/2006/relationships/image" Target="../media/image16.png"/><Relationship Id="rId24" Type="http://schemas.openxmlformats.org/officeDocument/2006/relationships/image" Target="../media/image29.png"/><Relationship Id="rId32" Type="http://schemas.openxmlformats.org/officeDocument/2006/relationships/image" Target="../media/image93.png"/><Relationship Id="rId37" Type="http://schemas.openxmlformats.org/officeDocument/2006/relationships/image" Target="../media/image95.png"/><Relationship Id="rId40" Type="http://schemas.openxmlformats.org/officeDocument/2006/relationships/image" Target="../media/image6.png"/><Relationship Id="rId45" Type="http://schemas.openxmlformats.org/officeDocument/2006/relationships/image" Target="../media/image78.png"/><Relationship Id="rId5" Type="http://schemas.openxmlformats.org/officeDocument/2006/relationships/image" Target="../media/image5.png"/><Relationship Id="rId15" Type="http://schemas.openxmlformats.org/officeDocument/2006/relationships/image" Target="../media/image20.png"/><Relationship Id="rId23" Type="http://schemas.openxmlformats.org/officeDocument/2006/relationships/image" Target="../media/image28.png"/><Relationship Id="rId28" Type="http://schemas.openxmlformats.org/officeDocument/2006/relationships/image" Target="../media/image49.png"/><Relationship Id="rId36" Type="http://schemas.openxmlformats.org/officeDocument/2006/relationships/image" Target="../media/image47.png"/><Relationship Id="rId10" Type="http://schemas.openxmlformats.org/officeDocument/2006/relationships/image" Target="../media/image11.png"/><Relationship Id="rId19" Type="http://schemas.openxmlformats.org/officeDocument/2006/relationships/image" Target="../media/image24.png"/><Relationship Id="rId31" Type="http://schemas.openxmlformats.org/officeDocument/2006/relationships/image" Target="../media/image92.png"/><Relationship Id="rId44" Type="http://schemas.openxmlformats.org/officeDocument/2006/relationships/image" Target="../media/image81.png"/><Relationship Id="rId4" Type="http://schemas.openxmlformats.org/officeDocument/2006/relationships/image" Target="../media/image4.png"/><Relationship Id="rId9" Type="http://schemas.openxmlformats.org/officeDocument/2006/relationships/image" Target="../media/image10.png"/><Relationship Id="rId14" Type="http://schemas.openxmlformats.org/officeDocument/2006/relationships/image" Target="../media/image19.png"/><Relationship Id="rId22" Type="http://schemas.openxmlformats.org/officeDocument/2006/relationships/image" Target="../media/image27.png"/><Relationship Id="rId27" Type="http://schemas.openxmlformats.org/officeDocument/2006/relationships/image" Target="../media/image90.png"/><Relationship Id="rId30" Type="http://schemas.openxmlformats.org/officeDocument/2006/relationships/image" Target="../media/image91.png"/><Relationship Id="rId35" Type="http://schemas.openxmlformats.org/officeDocument/2006/relationships/image" Target="../media/image43.png"/><Relationship Id="rId43" Type="http://schemas.openxmlformats.org/officeDocument/2006/relationships/image" Target="../media/image80.png"/><Relationship Id="rId8" Type="http://schemas.openxmlformats.org/officeDocument/2006/relationships/image" Target="../media/image9.png"/><Relationship Id="rId3" Type="http://schemas.openxmlformats.org/officeDocument/2006/relationships/image" Target="../media/image3.png"/><Relationship Id="rId12" Type="http://schemas.openxmlformats.org/officeDocument/2006/relationships/image" Target="../media/image17.png"/><Relationship Id="rId17" Type="http://schemas.openxmlformats.org/officeDocument/2006/relationships/image" Target="../media/image22.png"/><Relationship Id="rId25" Type="http://schemas.openxmlformats.org/officeDocument/2006/relationships/image" Target="../media/image88.png"/><Relationship Id="rId33" Type="http://schemas.openxmlformats.org/officeDocument/2006/relationships/image" Target="../media/image94.png"/><Relationship Id="rId38" Type="http://schemas.openxmlformats.org/officeDocument/2006/relationships/image" Target="../media/image96.png"/><Relationship Id="rId46" Type="http://schemas.openxmlformats.org/officeDocument/2006/relationships/image" Target="../media/image99.png"/><Relationship Id="rId20" Type="http://schemas.openxmlformats.org/officeDocument/2006/relationships/image" Target="../media/image25.png"/><Relationship Id="rId41" Type="http://schemas.openxmlformats.org/officeDocument/2006/relationships/image" Target="../media/image9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5</xdr:row>
      <xdr:rowOff>38100</xdr:rowOff>
    </xdr:from>
    <xdr:to>
      <xdr:col>4</xdr:col>
      <xdr:colOff>104775</xdr:colOff>
      <xdr:row>6</xdr:row>
      <xdr:rowOff>19050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38100"/>
          <a:ext cx="371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66675</xdr:colOff>
      <xdr:row>5</xdr:row>
      <xdr:rowOff>28575</xdr:rowOff>
    </xdr:from>
    <xdr:to>
      <xdr:col>9</xdr:col>
      <xdr:colOff>438150</xdr:colOff>
      <xdr:row>6</xdr:row>
      <xdr:rowOff>19050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7575" y="28575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47625</xdr:colOff>
      <xdr:row>1</xdr:row>
      <xdr:rowOff>19050</xdr:rowOff>
    </xdr:from>
    <xdr:to>
      <xdr:col>15</xdr:col>
      <xdr:colOff>323850</xdr:colOff>
      <xdr:row>2</xdr:row>
      <xdr:rowOff>19050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2175" y="20955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21</xdr:row>
      <xdr:rowOff>180975</xdr:rowOff>
    </xdr:from>
    <xdr:to>
      <xdr:col>1</xdr:col>
      <xdr:colOff>485775</xdr:colOff>
      <xdr:row>23</xdr:row>
      <xdr:rowOff>19050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267075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23</xdr:row>
      <xdr:rowOff>0</xdr:rowOff>
    </xdr:from>
    <xdr:to>
      <xdr:col>1</xdr:col>
      <xdr:colOff>666750</xdr:colOff>
      <xdr:row>24</xdr:row>
      <xdr:rowOff>28575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467100"/>
          <a:ext cx="5905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47625</xdr:colOff>
      <xdr:row>2</xdr:row>
      <xdr:rowOff>57150</xdr:rowOff>
    </xdr:from>
    <xdr:to>
      <xdr:col>15</xdr:col>
      <xdr:colOff>323850</xdr:colOff>
      <xdr:row>3</xdr:row>
      <xdr:rowOff>76200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438150"/>
          <a:ext cx="2762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371475</xdr:colOff>
      <xdr:row>1</xdr:row>
      <xdr:rowOff>38100</xdr:rowOff>
    </xdr:from>
    <xdr:to>
      <xdr:col>1</xdr:col>
      <xdr:colOff>666750</xdr:colOff>
      <xdr:row>2</xdr:row>
      <xdr:rowOff>38100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88670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25</xdr:row>
      <xdr:rowOff>19050</xdr:rowOff>
    </xdr:from>
    <xdr:to>
      <xdr:col>3</xdr:col>
      <xdr:colOff>371475</xdr:colOff>
      <xdr:row>26</xdr:row>
      <xdr:rowOff>38100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867150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26</xdr:row>
      <xdr:rowOff>28575</xdr:rowOff>
    </xdr:from>
    <xdr:to>
      <xdr:col>6</xdr:col>
      <xdr:colOff>523875</xdr:colOff>
      <xdr:row>27</xdr:row>
      <xdr:rowOff>28575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067175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114300</xdr:colOff>
      <xdr:row>26</xdr:row>
      <xdr:rowOff>9525</xdr:rowOff>
    </xdr:from>
    <xdr:to>
      <xdr:col>7</xdr:col>
      <xdr:colOff>438150</xdr:colOff>
      <xdr:row>27</xdr:row>
      <xdr:rowOff>19050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048125"/>
          <a:ext cx="323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228600</xdr:colOff>
      <xdr:row>24</xdr:row>
      <xdr:rowOff>123825</xdr:rowOff>
    </xdr:from>
    <xdr:to>
      <xdr:col>16</xdr:col>
      <xdr:colOff>333375</xdr:colOff>
      <xdr:row>25</xdr:row>
      <xdr:rowOff>152400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3781425"/>
          <a:ext cx="6096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361950</xdr:colOff>
      <xdr:row>25</xdr:row>
      <xdr:rowOff>9525</xdr:rowOff>
    </xdr:from>
    <xdr:to>
      <xdr:col>11</xdr:col>
      <xdr:colOff>333375</xdr:colOff>
      <xdr:row>26</xdr:row>
      <xdr:rowOff>38100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3857625"/>
          <a:ext cx="628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523875</xdr:colOff>
      <xdr:row>1</xdr:row>
      <xdr:rowOff>57150</xdr:rowOff>
    </xdr:from>
    <xdr:to>
      <xdr:col>3</xdr:col>
      <xdr:colOff>790575</xdr:colOff>
      <xdr:row>2</xdr:row>
      <xdr:rowOff>57150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7905750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419100</xdr:colOff>
      <xdr:row>1</xdr:row>
      <xdr:rowOff>9525</xdr:rowOff>
    </xdr:from>
    <xdr:to>
      <xdr:col>5</xdr:col>
      <xdr:colOff>695325</xdr:colOff>
      <xdr:row>2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785812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342900</xdr:colOff>
      <xdr:row>2</xdr:row>
      <xdr:rowOff>19050</xdr:rowOff>
    </xdr:from>
    <xdr:to>
      <xdr:col>1</xdr:col>
      <xdr:colOff>666750</xdr:colOff>
      <xdr:row>3</xdr:row>
      <xdr:rowOff>19050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90550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514350</xdr:colOff>
      <xdr:row>2</xdr:row>
      <xdr:rowOff>19050</xdr:rowOff>
    </xdr:from>
    <xdr:to>
      <xdr:col>3</xdr:col>
      <xdr:colOff>809625</xdr:colOff>
      <xdr:row>3</xdr:row>
      <xdr:rowOff>19050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905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409575</xdr:colOff>
      <xdr:row>2</xdr:row>
      <xdr:rowOff>19050</xdr:rowOff>
    </xdr:from>
    <xdr:to>
      <xdr:col>5</xdr:col>
      <xdr:colOff>704850</xdr:colOff>
      <xdr:row>3</xdr:row>
      <xdr:rowOff>19050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5905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38</xdr:row>
      <xdr:rowOff>9525</xdr:rowOff>
    </xdr:from>
    <xdr:to>
      <xdr:col>3</xdr:col>
      <xdr:colOff>847725</xdr:colOff>
      <xdr:row>38</xdr:row>
      <xdr:rowOff>266700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477125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38</xdr:row>
      <xdr:rowOff>9525</xdr:rowOff>
    </xdr:from>
    <xdr:to>
      <xdr:col>12</xdr:col>
      <xdr:colOff>152400</xdr:colOff>
      <xdr:row>39</xdr:row>
      <xdr:rowOff>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7477125"/>
          <a:ext cx="7810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9</xdr:col>
      <xdr:colOff>361950</xdr:colOff>
      <xdr:row>2</xdr:row>
      <xdr:rowOff>19050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90500"/>
          <a:ext cx="3619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</xdr:row>
      <xdr:rowOff>0</xdr:rowOff>
    </xdr:from>
    <xdr:to>
      <xdr:col>9</xdr:col>
      <xdr:colOff>409575</xdr:colOff>
      <xdr:row>3</xdr:row>
      <xdr:rowOff>19050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81000"/>
          <a:ext cx="4095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371475</xdr:colOff>
      <xdr:row>2</xdr:row>
      <xdr:rowOff>28575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190500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38</xdr:row>
      <xdr:rowOff>266700</xdr:rowOff>
    </xdr:from>
    <xdr:to>
      <xdr:col>6</xdr:col>
      <xdr:colOff>561975</xdr:colOff>
      <xdr:row>39</xdr:row>
      <xdr:rowOff>219075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7734300"/>
          <a:ext cx="400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48</xdr:row>
      <xdr:rowOff>19050</xdr:rowOff>
    </xdr:from>
    <xdr:to>
      <xdr:col>1</xdr:col>
      <xdr:colOff>571500</xdr:colOff>
      <xdr:row>49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486900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49</xdr:row>
      <xdr:rowOff>38100</xdr:rowOff>
    </xdr:from>
    <xdr:to>
      <xdr:col>1</xdr:col>
      <xdr:colOff>647700</xdr:colOff>
      <xdr:row>50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772650"/>
          <a:ext cx="647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</xdr:colOff>
      <xdr:row>39</xdr:row>
      <xdr:rowOff>47625</xdr:rowOff>
    </xdr:from>
    <xdr:to>
      <xdr:col>7</xdr:col>
      <xdr:colOff>695325</xdr:colOff>
      <xdr:row>39</xdr:row>
      <xdr:rowOff>266700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7800975"/>
          <a:ext cx="628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352425</xdr:colOff>
      <xdr:row>3</xdr:row>
      <xdr:rowOff>19050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381000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36</xdr:row>
      <xdr:rowOff>28575</xdr:rowOff>
    </xdr:from>
    <xdr:to>
      <xdr:col>1</xdr:col>
      <xdr:colOff>552450</xdr:colOff>
      <xdr:row>36</xdr:row>
      <xdr:rowOff>266700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000875"/>
          <a:ext cx="3714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35</xdr:row>
      <xdr:rowOff>28575</xdr:rowOff>
    </xdr:from>
    <xdr:to>
      <xdr:col>1</xdr:col>
      <xdr:colOff>552450</xdr:colOff>
      <xdr:row>35</xdr:row>
      <xdr:rowOff>247650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734175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4</xdr:row>
      <xdr:rowOff>38100</xdr:rowOff>
    </xdr:from>
    <xdr:to>
      <xdr:col>4</xdr:col>
      <xdr:colOff>104775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990600"/>
          <a:ext cx="371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22</xdr:row>
      <xdr:rowOff>19050</xdr:rowOff>
    </xdr:from>
    <xdr:to>
      <xdr:col>3</xdr:col>
      <xdr:colOff>371475</xdr:colOff>
      <xdr:row>23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19650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23</xdr:row>
      <xdr:rowOff>28575</xdr:rowOff>
    </xdr:from>
    <xdr:to>
      <xdr:col>6</xdr:col>
      <xdr:colOff>523875</xdr:colOff>
      <xdr:row>24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019675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32</xdr:row>
      <xdr:rowOff>47625</xdr:rowOff>
    </xdr:from>
    <xdr:to>
      <xdr:col>1</xdr:col>
      <xdr:colOff>552450</xdr:colOff>
      <xdr:row>33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753225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209550</xdr:colOff>
      <xdr:row>3</xdr:row>
      <xdr:rowOff>161925</xdr:rowOff>
    </xdr:from>
    <xdr:to>
      <xdr:col>10</xdr:col>
      <xdr:colOff>133350</xdr:colOff>
      <xdr:row>5</xdr:row>
      <xdr:rowOff>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33425"/>
          <a:ext cx="4191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76200</xdr:colOff>
      <xdr:row>5</xdr:row>
      <xdr:rowOff>0</xdr:rowOff>
    </xdr:from>
    <xdr:to>
      <xdr:col>12</xdr:col>
      <xdr:colOff>476250</xdr:colOff>
      <xdr:row>5</xdr:row>
      <xdr:rowOff>238125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990600"/>
          <a:ext cx="400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0</xdr:row>
      <xdr:rowOff>171450</xdr:rowOff>
    </xdr:from>
    <xdr:to>
      <xdr:col>9</xdr:col>
      <xdr:colOff>466725</xdr:colOff>
      <xdr:row>2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71450"/>
          <a:ext cx="2857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0</xdr:row>
      <xdr:rowOff>0</xdr:rowOff>
    </xdr:from>
    <xdr:to>
      <xdr:col>9</xdr:col>
      <xdr:colOff>466725</xdr:colOff>
      <xdr:row>1</xdr:row>
      <xdr:rowOff>47625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0"/>
          <a:ext cx="2857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0</xdr:row>
      <xdr:rowOff>0</xdr:rowOff>
    </xdr:from>
    <xdr:to>
      <xdr:col>11</xdr:col>
      <xdr:colOff>552450</xdr:colOff>
      <xdr:row>1</xdr:row>
      <xdr:rowOff>47625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0"/>
          <a:ext cx="266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</xdr:row>
      <xdr:rowOff>19050</xdr:rowOff>
    </xdr:from>
    <xdr:to>
      <xdr:col>14</xdr:col>
      <xdr:colOff>323850</xdr:colOff>
      <xdr:row>5</xdr:row>
      <xdr:rowOff>257175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00965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409575</xdr:colOff>
      <xdr:row>21</xdr:row>
      <xdr:rowOff>28575</xdr:rowOff>
    </xdr:from>
    <xdr:to>
      <xdr:col>21</xdr:col>
      <xdr:colOff>457200</xdr:colOff>
      <xdr:row>22</xdr:row>
      <xdr:rowOff>38100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7425" y="4229100"/>
          <a:ext cx="5429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3</xdr:row>
      <xdr:rowOff>123825</xdr:rowOff>
    </xdr:from>
    <xdr:to>
      <xdr:col>19</xdr:col>
      <xdr:colOff>57150</xdr:colOff>
      <xdr:row>5</xdr:row>
      <xdr:rowOff>47625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695325"/>
          <a:ext cx="19145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76200</xdr:colOff>
      <xdr:row>14</xdr:row>
      <xdr:rowOff>0</xdr:rowOff>
    </xdr:from>
    <xdr:to>
      <xdr:col>12</xdr:col>
      <xdr:colOff>600075</xdr:colOff>
      <xdr:row>15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705100"/>
          <a:ext cx="5238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15</xdr:row>
      <xdr:rowOff>0</xdr:rowOff>
    </xdr:from>
    <xdr:to>
      <xdr:col>12</xdr:col>
      <xdr:colOff>628650</xdr:colOff>
      <xdr:row>16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2933700"/>
          <a:ext cx="5429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361950</xdr:colOff>
      <xdr:row>14</xdr:row>
      <xdr:rowOff>0</xdr:rowOff>
    </xdr:from>
    <xdr:to>
      <xdr:col>7</xdr:col>
      <xdr:colOff>771525</xdr:colOff>
      <xdr:row>15</xdr:row>
      <xdr:rowOff>28575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705100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28575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3009900"/>
          <a:ext cx="1028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685800</xdr:colOff>
      <xdr:row>0</xdr:row>
      <xdr:rowOff>19050</xdr:rowOff>
    </xdr:from>
    <xdr:to>
      <xdr:col>7</xdr:col>
      <xdr:colOff>933450</xdr:colOff>
      <xdr:row>1</xdr:row>
      <xdr:rowOff>38100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9050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704850</xdr:colOff>
      <xdr:row>1</xdr:row>
      <xdr:rowOff>9525</xdr:rowOff>
    </xdr:from>
    <xdr:to>
      <xdr:col>7</xdr:col>
      <xdr:colOff>942975</xdr:colOff>
      <xdr:row>2</xdr:row>
      <xdr:rowOff>28575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000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704850</xdr:colOff>
      <xdr:row>1</xdr:row>
      <xdr:rowOff>180975</xdr:rowOff>
    </xdr:from>
    <xdr:to>
      <xdr:col>7</xdr:col>
      <xdr:colOff>933450</xdr:colOff>
      <xdr:row>3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71475"/>
          <a:ext cx="228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9525</xdr:colOff>
      <xdr:row>14</xdr:row>
      <xdr:rowOff>0</xdr:rowOff>
    </xdr:from>
    <xdr:to>
      <xdr:col>16</xdr:col>
      <xdr:colOff>9525</xdr:colOff>
      <xdr:row>15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781300"/>
          <a:ext cx="5048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381000</xdr:colOff>
      <xdr:row>3</xdr:row>
      <xdr:rowOff>57150</xdr:rowOff>
    </xdr:from>
    <xdr:to>
      <xdr:col>24</xdr:col>
      <xdr:colOff>285750</xdr:colOff>
      <xdr:row>4</xdr:row>
      <xdr:rowOff>209550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628650"/>
          <a:ext cx="10572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161925</xdr:colOff>
      <xdr:row>2</xdr:row>
      <xdr:rowOff>9525</xdr:rowOff>
    </xdr:from>
    <xdr:to>
      <xdr:col>9</xdr:col>
      <xdr:colOff>409575</xdr:colOff>
      <xdr:row>3</xdr:row>
      <xdr:rowOff>28575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390525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</xdr:row>
      <xdr:rowOff>28575</xdr:rowOff>
    </xdr:from>
    <xdr:to>
      <xdr:col>1</xdr:col>
      <xdr:colOff>409575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857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752475</xdr:colOff>
      <xdr:row>7</xdr:row>
      <xdr:rowOff>9525</xdr:rowOff>
    </xdr:from>
    <xdr:to>
      <xdr:col>1</xdr:col>
      <xdr:colOff>981075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62025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3</xdr:row>
      <xdr:rowOff>38100</xdr:rowOff>
    </xdr:from>
    <xdr:to>
      <xdr:col>1</xdr:col>
      <xdr:colOff>590550</xdr:colOff>
      <xdr:row>4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</xdr:row>
      <xdr:rowOff>19050</xdr:rowOff>
    </xdr:from>
    <xdr:to>
      <xdr:col>1</xdr:col>
      <xdr:colOff>590550</xdr:colOff>
      <xdr:row>5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000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752475</xdr:colOff>
      <xdr:row>6</xdr:row>
      <xdr:rowOff>19050</xdr:rowOff>
    </xdr:from>
    <xdr:to>
      <xdr:col>1</xdr:col>
      <xdr:colOff>962025</xdr:colOff>
      <xdr:row>7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81050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5</xdr:row>
      <xdr:rowOff>19050</xdr:rowOff>
    </xdr:from>
    <xdr:to>
      <xdr:col>1</xdr:col>
      <xdr:colOff>571500</xdr:colOff>
      <xdr:row>6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90550"/>
          <a:ext cx="4095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723900</xdr:colOff>
      <xdr:row>8</xdr:row>
      <xdr:rowOff>9525</xdr:rowOff>
    </xdr:from>
    <xdr:to>
      <xdr:col>1</xdr:col>
      <xdr:colOff>990600</xdr:colOff>
      <xdr:row>9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152525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</xdr:row>
      <xdr:rowOff>28575</xdr:rowOff>
    </xdr:from>
    <xdr:to>
      <xdr:col>1</xdr:col>
      <xdr:colOff>561975</xdr:colOff>
      <xdr:row>3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3905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228600</xdr:colOff>
      <xdr:row>1</xdr:row>
      <xdr:rowOff>147637</xdr:rowOff>
    </xdr:from>
    <xdr:ext cx="237950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05CD091-1A12-4533-A575-3E76F75F0FDE}"/>
                </a:ext>
              </a:extLst>
            </xdr:cNvPr>
            <xdr:cNvSpPr txBox="1"/>
          </xdr:nvSpPr>
          <xdr:spPr>
            <a:xfrm>
              <a:off x="1847850" y="147637"/>
              <a:ext cx="23795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𝝆</m:t>
                        </m:r>
                      </m:e>
                      <m:sub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𝟎</m:t>
                        </m:r>
                      </m:sub>
                    </m:sSub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905CD091-1A12-4533-A575-3E76F75F0FDE}"/>
                </a:ext>
              </a:extLst>
            </xdr:cNvPr>
            <xdr:cNvSpPr txBox="1"/>
          </xdr:nvSpPr>
          <xdr:spPr>
            <a:xfrm>
              <a:off x="1847850" y="147637"/>
              <a:ext cx="237950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𝝆_𝟎</a:t>
              </a:r>
              <a:endParaRPr lang="en-US" sz="1400" b="1"/>
            </a:p>
          </xdr:txBody>
        </xdr:sp>
      </mc:Fallback>
    </mc:AlternateContent>
    <xdr:clientData/>
  </xdr:oneCellAnchor>
  <xdr:oneCellAnchor>
    <xdr:from>
      <xdr:col>7</xdr:col>
      <xdr:colOff>104775</xdr:colOff>
      <xdr:row>2</xdr:row>
      <xdr:rowOff>14287</xdr:rowOff>
    </xdr:from>
    <xdr:ext cx="383631" cy="21916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7634FC9-9E1B-47B7-9489-21D962E95BB0}"/>
                </a:ext>
              </a:extLst>
            </xdr:cNvPr>
            <xdr:cNvSpPr txBox="1"/>
          </xdr:nvSpPr>
          <xdr:spPr>
            <a:xfrm>
              <a:off x="4914900" y="395287"/>
              <a:ext cx="38363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𝑭</m:t>
                        </m:r>
                      </m:e>
                      <m:sub>
                        <m:r>
                          <a:rPr lang="en-US" sz="1400" b="1" i="1">
                            <a:latin typeface="Cambria Math" panose="02040503050406030204" pitchFamily="18" charset="0"/>
                          </a:rPr>
                          <m:t>𝒐𝒃𝒔</m:t>
                        </m:r>
                      </m:sub>
                    </m:sSub>
                  </m:oMath>
                </m:oMathPara>
              </a14:m>
              <a:endParaRPr lang="en-US" sz="1400" b="1"/>
            </a:p>
          </xdr:txBody>
        </xdr:sp>
      </mc:Choice>
      <mc:Fallback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87634FC9-9E1B-47B7-9489-21D962E95BB0}"/>
                </a:ext>
              </a:extLst>
            </xdr:cNvPr>
            <xdr:cNvSpPr txBox="1"/>
          </xdr:nvSpPr>
          <xdr:spPr>
            <a:xfrm>
              <a:off x="4914900" y="395287"/>
              <a:ext cx="383631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400" b="1" i="0">
                  <a:latin typeface="Cambria Math" panose="02040503050406030204" pitchFamily="18" charset="0"/>
                </a:rPr>
                <a:t>𝑭_𝒐𝒃𝒔</a:t>
              </a:r>
              <a:endParaRPr lang="en-US" sz="1400" b="1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4</xdr:row>
      <xdr:rowOff>38100</xdr:rowOff>
    </xdr:from>
    <xdr:to>
      <xdr:col>4</xdr:col>
      <xdr:colOff>104775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800100"/>
          <a:ext cx="371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22</xdr:row>
      <xdr:rowOff>19050</xdr:rowOff>
    </xdr:from>
    <xdr:to>
      <xdr:col>3</xdr:col>
      <xdr:colOff>371475</xdr:colOff>
      <xdr:row>23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448175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23</xdr:row>
      <xdr:rowOff>28575</xdr:rowOff>
    </xdr:from>
    <xdr:to>
      <xdr:col>6</xdr:col>
      <xdr:colOff>523875</xdr:colOff>
      <xdr:row>24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4648200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32</xdr:row>
      <xdr:rowOff>47625</xdr:rowOff>
    </xdr:from>
    <xdr:to>
      <xdr:col>1</xdr:col>
      <xdr:colOff>552450</xdr:colOff>
      <xdr:row>33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381750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209550</xdr:colOff>
      <xdr:row>3</xdr:row>
      <xdr:rowOff>161925</xdr:rowOff>
    </xdr:from>
    <xdr:to>
      <xdr:col>10</xdr:col>
      <xdr:colOff>133350</xdr:colOff>
      <xdr:row>5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733425"/>
          <a:ext cx="41910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76200</xdr:colOff>
      <xdr:row>5</xdr:row>
      <xdr:rowOff>0</xdr:rowOff>
    </xdr:from>
    <xdr:to>
      <xdr:col>12</xdr:col>
      <xdr:colOff>476250</xdr:colOff>
      <xdr:row>5</xdr:row>
      <xdr:rowOff>238125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990600"/>
          <a:ext cx="400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0</xdr:row>
      <xdr:rowOff>171450</xdr:rowOff>
    </xdr:from>
    <xdr:to>
      <xdr:col>9</xdr:col>
      <xdr:colOff>466725</xdr:colOff>
      <xdr:row>2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171450"/>
          <a:ext cx="285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180975</xdr:colOff>
      <xdr:row>0</xdr:row>
      <xdr:rowOff>0</xdr:rowOff>
    </xdr:from>
    <xdr:to>
      <xdr:col>9</xdr:col>
      <xdr:colOff>466725</xdr:colOff>
      <xdr:row>1</xdr:row>
      <xdr:rowOff>47625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0"/>
          <a:ext cx="2857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285750</xdr:colOff>
      <xdr:row>0</xdr:row>
      <xdr:rowOff>0</xdr:rowOff>
    </xdr:from>
    <xdr:to>
      <xdr:col>11</xdr:col>
      <xdr:colOff>552450</xdr:colOff>
      <xdr:row>1</xdr:row>
      <xdr:rowOff>47625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0"/>
          <a:ext cx="266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5</xdr:row>
      <xdr:rowOff>19050</xdr:rowOff>
    </xdr:from>
    <xdr:to>
      <xdr:col>14</xdr:col>
      <xdr:colOff>323850</xdr:colOff>
      <xdr:row>5</xdr:row>
      <xdr:rowOff>257175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009650"/>
          <a:ext cx="1162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409575</xdr:colOff>
      <xdr:row>21</xdr:row>
      <xdr:rowOff>28575</xdr:rowOff>
    </xdr:from>
    <xdr:to>
      <xdr:col>21</xdr:col>
      <xdr:colOff>457200</xdr:colOff>
      <xdr:row>22</xdr:row>
      <xdr:rowOff>38100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7425" y="4229100"/>
          <a:ext cx="5429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361950</xdr:colOff>
      <xdr:row>3</xdr:row>
      <xdr:rowOff>123825</xdr:rowOff>
    </xdr:from>
    <xdr:to>
      <xdr:col>19</xdr:col>
      <xdr:colOff>57150</xdr:colOff>
      <xdr:row>5</xdr:row>
      <xdr:rowOff>47625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5650" y="695325"/>
          <a:ext cx="19145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76200</xdr:colOff>
      <xdr:row>14</xdr:row>
      <xdr:rowOff>0</xdr:rowOff>
    </xdr:from>
    <xdr:to>
      <xdr:col>12</xdr:col>
      <xdr:colOff>600075</xdr:colOff>
      <xdr:row>15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2781300"/>
          <a:ext cx="5238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15</xdr:row>
      <xdr:rowOff>0</xdr:rowOff>
    </xdr:from>
    <xdr:to>
      <xdr:col>12</xdr:col>
      <xdr:colOff>628650</xdr:colOff>
      <xdr:row>16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3009900"/>
          <a:ext cx="5429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361950</xdr:colOff>
      <xdr:row>14</xdr:row>
      <xdr:rowOff>0</xdr:rowOff>
    </xdr:from>
    <xdr:to>
      <xdr:col>7</xdr:col>
      <xdr:colOff>771525</xdr:colOff>
      <xdr:row>15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781300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8</xdr:col>
      <xdr:colOff>0</xdr:colOff>
      <xdr:row>16</xdr:row>
      <xdr:rowOff>28575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3009900"/>
          <a:ext cx="10287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685800</xdr:colOff>
      <xdr:row>0</xdr:row>
      <xdr:rowOff>19050</xdr:rowOff>
    </xdr:from>
    <xdr:to>
      <xdr:col>7</xdr:col>
      <xdr:colOff>933450</xdr:colOff>
      <xdr:row>1</xdr:row>
      <xdr:rowOff>38100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19050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704850</xdr:colOff>
      <xdr:row>1</xdr:row>
      <xdr:rowOff>9525</xdr:rowOff>
    </xdr:from>
    <xdr:to>
      <xdr:col>7</xdr:col>
      <xdr:colOff>942975</xdr:colOff>
      <xdr:row>2</xdr:row>
      <xdr:rowOff>28575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000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704850</xdr:colOff>
      <xdr:row>1</xdr:row>
      <xdr:rowOff>180975</xdr:rowOff>
    </xdr:from>
    <xdr:to>
      <xdr:col>7</xdr:col>
      <xdr:colOff>933450</xdr:colOff>
      <xdr:row>3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71475"/>
          <a:ext cx="2286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9525</xdr:colOff>
      <xdr:row>14</xdr:row>
      <xdr:rowOff>0</xdr:rowOff>
    </xdr:from>
    <xdr:to>
      <xdr:col>16</xdr:col>
      <xdr:colOff>9525</xdr:colOff>
      <xdr:row>15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781300"/>
          <a:ext cx="50482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381000</xdr:colOff>
      <xdr:row>3</xdr:row>
      <xdr:rowOff>57150</xdr:rowOff>
    </xdr:from>
    <xdr:to>
      <xdr:col>24</xdr:col>
      <xdr:colOff>285750</xdr:colOff>
      <xdr:row>4</xdr:row>
      <xdr:rowOff>209550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628650"/>
          <a:ext cx="10572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161925</xdr:colOff>
      <xdr:row>2</xdr:row>
      <xdr:rowOff>9525</xdr:rowOff>
    </xdr:from>
    <xdr:to>
      <xdr:col>9</xdr:col>
      <xdr:colOff>409575</xdr:colOff>
      <xdr:row>3</xdr:row>
      <xdr:rowOff>28575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5" y="390525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285750</xdr:colOff>
      <xdr:row>19</xdr:row>
      <xdr:rowOff>0</xdr:rowOff>
    </xdr:from>
    <xdr:to>
      <xdr:col>8</xdr:col>
      <xdr:colOff>428625</xdr:colOff>
      <xdr:row>20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90500"/>
          <a:ext cx="142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276225</xdr:colOff>
      <xdr:row>19</xdr:row>
      <xdr:rowOff>19050</xdr:rowOff>
    </xdr:from>
    <xdr:to>
      <xdr:col>9</xdr:col>
      <xdr:colOff>361950</xdr:colOff>
      <xdr:row>20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209550"/>
          <a:ext cx="857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247650</xdr:colOff>
      <xdr:row>19</xdr:row>
      <xdr:rowOff>19050</xdr:rowOff>
    </xdr:from>
    <xdr:to>
      <xdr:col>10</xdr:col>
      <xdr:colOff>323850</xdr:colOff>
      <xdr:row>20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0955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133350</xdr:colOff>
      <xdr:row>19</xdr:row>
      <xdr:rowOff>0</xdr:rowOff>
    </xdr:from>
    <xdr:to>
      <xdr:col>12</xdr:col>
      <xdr:colOff>381000</xdr:colOff>
      <xdr:row>20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90500"/>
          <a:ext cx="2476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228600</xdr:colOff>
      <xdr:row>19</xdr:row>
      <xdr:rowOff>0</xdr:rowOff>
    </xdr:from>
    <xdr:to>
      <xdr:col>13</xdr:col>
      <xdr:colOff>304800</xdr:colOff>
      <xdr:row>20</xdr:row>
      <xdr:rowOff>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190500"/>
          <a:ext cx="762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276225</xdr:colOff>
      <xdr:row>19</xdr:row>
      <xdr:rowOff>0</xdr:rowOff>
    </xdr:from>
    <xdr:to>
      <xdr:col>11</xdr:col>
      <xdr:colOff>342900</xdr:colOff>
      <xdr:row>20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90500"/>
          <a:ext cx="666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7</xdr:row>
      <xdr:rowOff>28575</xdr:rowOff>
    </xdr:from>
    <xdr:to>
      <xdr:col>3</xdr:col>
      <xdr:colOff>647700</xdr:colOff>
      <xdr:row>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371600"/>
          <a:ext cx="371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200025</xdr:colOff>
      <xdr:row>7</xdr:row>
      <xdr:rowOff>19050</xdr:rowOff>
    </xdr:from>
    <xdr:to>
      <xdr:col>13</xdr:col>
      <xdr:colOff>571500</xdr:colOff>
      <xdr:row>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971550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561975</xdr:colOff>
      <xdr:row>7</xdr:row>
      <xdr:rowOff>9525</xdr:rowOff>
    </xdr:from>
    <xdr:to>
      <xdr:col>20</xdr:col>
      <xdr:colOff>85725</xdr:colOff>
      <xdr:row>8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962025"/>
          <a:ext cx="6572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8</xdr:row>
      <xdr:rowOff>0</xdr:rowOff>
    </xdr:from>
    <xdr:to>
      <xdr:col>6</xdr:col>
      <xdr:colOff>561975</xdr:colOff>
      <xdr:row>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990600"/>
          <a:ext cx="3048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47625</xdr:colOff>
      <xdr:row>7</xdr:row>
      <xdr:rowOff>219075</xdr:rowOff>
    </xdr:from>
    <xdr:to>
      <xdr:col>7</xdr:col>
      <xdr:colOff>609600</xdr:colOff>
      <xdr:row>9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981075"/>
          <a:ext cx="5619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352425</xdr:colOff>
      <xdr:row>26</xdr:row>
      <xdr:rowOff>9525</xdr:rowOff>
    </xdr:from>
    <xdr:to>
      <xdr:col>1</xdr:col>
      <xdr:colOff>666750</xdr:colOff>
      <xdr:row>27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4800600"/>
          <a:ext cx="3143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27</xdr:row>
      <xdr:rowOff>0</xdr:rowOff>
    </xdr:from>
    <xdr:to>
      <xdr:col>1</xdr:col>
      <xdr:colOff>838200</xdr:colOff>
      <xdr:row>28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019675"/>
          <a:ext cx="5905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371475</xdr:colOff>
      <xdr:row>1</xdr:row>
      <xdr:rowOff>38100</xdr:rowOff>
    </xdr:from>
    <xdr:to>
      <xdr:col>1</xdr:col>
      <xdr:colOff>666750</xdr:colOff>
      <xdr:row>2</xdr:row>
      <xdr:rowOff>38100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2860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29</xdr:row>
      <xdr:rowOff>19050</xdr:rowOff>
    </xdr:from>
    <xdr:to>
      <xdr:col>3</xdr:col>
      <xdr:colOff>371475</xdr:colOff>
      <xdr:row>30</xdr:row>
      <xdr:rowOff>38100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629150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30</xdr:row>
      <xdr:rowOff>28575</xdr:rowOff>
    </xdr:from>
    <xdr:to>
      <xdr:col>6</xdr:col>
      <xdr:colOff>523875</xdr:colOff>
      <xdr:row>31</xdr:row>
      <xdr:rowOff>28575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829175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114300</xdr:colOff>
      <xdr:row>30</xdr:row>
      <xdr:rowOff>9525</xdr:rowOff>
    </xdr:from>
    <xdr:to>
      <xdr:col>7</xdr:col>
      <xdr:colOff>438150</xdr:colOff>
      <xdr:row>31</xdr:row>
      <xdr:rowOff>19050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810125"/>
          <a:ext cx="323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228600</xdr:colOff>
      <xdr:row>28</xdr:row>
      <xdr:rowOff>123825</xdr:rowOff>
    </xdr:from>
    <xdr:to>
      <xdr:col>18</xdr:col>
      <xdr:colOff>333375</xdr:colOff>
      <xdr:row>29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4543425"/>
          <a:ext cx="6096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361950</xdr:colOff>
      <xdr:row>29</xdr:row>
      <xdr:rowOff>9525</xdr:rowOff>
    </xdr:from>
    <xdr:to>
      <xdr:col>13</xdr:col>
      <xdr:colOff>333375</xdr:colOff>
      <xdr:row>30</xdr:row>
      <xdr:rowOff>38100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4619625"/>
          <a:ext cx="628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361950</xdr:colOff>
      <xdr:row>3</xdr:row>
      <xdr:rowOff>0</xdr:rowOff>
    </xdr:from>
    <xdr:to>
      <xdr:col>1</xdr:col>
      <xdr:colOff>657225</xdr:colOff>
      <xdr:row>4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150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361950</xdr:colOff>
      <xdr:row>2</xdr:row>
      <xdr:rowOff>19050</xdr:rowOff>
    </xdr:from>
    <xdr:to>
      <xdr:col>1</xdr:col>
      <xdr:colOff>657225</xdr:colOff>
      <xdr:row>3</xdr:row>
      <xdr:rowOff>19050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000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523875</xdr:colOff>
      <xdr:row>0</xdr:row>
      <xdr:rowOff>0</xdr:rowOff>
    </xdr:from>
    <xdr:to>
      <xdr:col>9</xdr:col>
      <xdr:colOff>828675</xdr:colOff>
      <xdr:row>1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523875</xdr:colOff>
      <xdr:row>1</xdr:row>
      <xdr:rowOff>0</xdr:rowOff>
    </xdr:from>
    <xdr:to>
      <xdr:col>9</xdr:col>
      <xdr:colOff>828675</xdr:colOff>
      <xdr:row>2</xdr:row>
      <xdr:rowOff>19050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9050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400050</xdr:colOff>
      <xdr:row>0</xdr:row>
      <xdr:rowOff>0</xdr:rowOff>
    </xdr:from>
    <xdr:to>
      <xdr:col>5</xdr:col>
      <xdr:colOff>628650</xdr:colOff>
      <xdr:row>1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409575</xdr:colOff>
      <xdr:row>1</xdr:row>
      <xdr:rowOff>0</xdr:rowOff>
    </xdr:from>
    <xdr:to>
      <xdr:col>5</xdr:col>
      <xdr:colOff>628650</xdr:colOff>
      <xdr:row>2</xdr:row>
      <xdr:rowOff>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190500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390525</xdr:colOff>
      <xdr:row>2</xdr:row>
      <xdr:rowOff>9525</xdr:rowOff>
    </xdr:from>
    <xdr:to>
      <xdr:col>5</xdr:col>
      <xdr:colOff>647700</xdr:colOff>
      <xdr:row>3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90525"/>
          <a:ext cx="2571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161925</xdr:colOff>
      <xdr:row>0</xdr:row>
      <xdr:rowOff>0</xdr:rowOff>
    </xdr:from>
    <xdr:to>
      <xdr:col>11</xdr:col>
      <xdr:colOff>409575</xdr:colOff>
      <xdr:row>1</xdr:row>
      <xdr:rowOff>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0"/>
          <a:ext cx="2476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200025</xdr:colOff>
      <xdr:row>1</xdr:row>
      <xdr:rowOff>0</xdr:rowOff>
    </xdr:from>
    <xdr:to>
      <xdr:col>11</xdr:col>
      <xdr:colOff>428625</xdr:colOff>
      <xdr:row>2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900" y="19050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0</xdr:row>
      <xdr:rowOff>28575</xdr:rowOff>
    </xdr:from>
    <xdr:to>
      <xdr:col>7</xdr:col>
      <xdr:colOff>314325</xdr:colOff>
      <xdr:row>0</xdr:row>
      <xdr:rowOff>28575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09575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180975</xdr:colOff>
      <xdr:row>8</xdr:row>
      <xdr:rowOff>0</xdr:rowOff>
    </xdr:from>
    <xdr:to>
      <xdr:col>8</xdr:col>
      <xdr:colOff>495300</xdr:colOff>
      <xdr:row>9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181100"/>
          <a:ext cx="3143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38100</xdr:colOff>
      <xdr:row>8</xdr:row>
      <xdr:rowOff>0</xdr:rowOff>
    </xdr:from>
    <xdr:to>
      <xdr:col>10</xdr:col>
      <xdr:colOff>28575</xdr:colOff>
      <xdr:row>9</xdr:row>
      <xdr:rowOff>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811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266700</xdr:colOff>
      <xdr:row>24</xdr:row>
      <xdr:rowOff>19050</xdr:rowOff>
    </xdr:from>
    <xdr:to>
      <xdr:col>1</xdr:col>
      <xdr:colOff>590550</xdr:colOff>
      <xdr:row>25</xdr:row>
      <xdr:rowOff>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248150"/>
          <a:ext cx="3238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</xdr:colOff>
      <xdr:row>25</xdr:row>
      <xdr:rowOff>38100</xdr:rowOff>
    </xdr:from>
    <xdr:to>
      <xdr:col>1</xdr:col>
      <xdr:colOff>971550</xdr:colOff>
      <xdr:row>25</xdr:row>
      <xdr:rowOff>285750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4495800"/>
          <a:ext cx="96202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390525</xdr:colOff>
      <xdr:row>46</xdr:row>
      <xdr:rowOff>0</xdr:rowOff>
    </xdr:from>
    <xdr:to>
      <xdr:col>1</xdr:col>
      <xdr:colOff>733425</xdr:colOff>
      <xdr:row>47</xdr:row>
      <xdr:rowOff>19050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866775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390525</xdr:colOff>
      <xdr:row>47</xdr:row>
      <xdr:rowOff>9525</xdr:rowOff>
    </xdr:from>
    <xdr:to>
      <xdr:col>1</xdr:col>
      <xdr:colOff>733425</xdr:colOff>
      <xdr:row>48</xdr:row>
      <xdr:rowOff>38100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8867775"/>
          <a:ext cx="3429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628650</xdr:colOff>
      <xdr:row>2</xdr:row>
      <xdr:rowOff>9525</xdr:rowOff>
    </xdr:from>
    <xdr:to>
      <xdr:col>9</xdr:col>
      <xdr:colOff>847725</xdr:colOff>
      <xdr:row>3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390525"/>
          <a:ext cx="2190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24</xdr:col>
      <xdr:colOff>85725</xdr:colOff>
      <xdr:row>4</xdr:row>
      <xdr:rowOff>180975</xdr:rowOff>
    </xdr:from>
    <xdr:to>
      <xdr:col>26</xdr:col>
      <xdr:colOff>428625</xdr:colOff>
      <xdr:row>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0" y="942975"/>
          <a:ext cx="14287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161925</xdr:colOff>
      <xdr:row>2</xdr:row>
      <xdr:rowOff>9525</xdr:rowOff>
    </xdr:from>
    <xdr:to>
      <xdr:col>11</xdr:col>
      <xdr:colOff>428625</xdr:colOff>
      <xdr:row>3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390525"/>
          <a:ext cx="266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285750</xdr:colOff>
      <xdr:row>4</xdr:row>
      <xdr:rowOff>9525</xdr:rowOff>
    </xdr:from>
    <xdr:to>
      <xdr:col>13</xdr:col>
      <xdr:colOff>571500</xdr:colOff>
      <xdr:row>5</xdr:row>
      <xdr:rowOff>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77152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295275</xdr:colOff>
      <xdr:row>1</xdr:row>
      <xdr:rowOff>0</xdr:rowOff>
    </xdr:from>
    <xdr:to>
      <xdr:col>13</xdr:col>
      <xdr:colOff>581025</xdr:colOff>
      <xdr:row>2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1905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304800</xdr:colOff>
      <xdr:row>1</xdr:row>
      <xdr:rowOff>180975</xdr:rowOff>
    </xdr:from>
    <xdr:to>
      <xdr:col>13</xdr:col>
      <xdr:colOff>581025</xdr:colOff>
      <xdr:row>2</xdr:row>
      <xdr:rowOff>180975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3714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285750</xdr:colOff>
      <xdr:row>2</xdr:row>
      <xdr:rowOff>180975</xdr:rowOff>
    </xdr:from>
    <xdr:to>
      <xdr:col>13</xdr:col>
      <xdr:colOff>571500</xdr:colOff>
      <xdr:row>3</xdr:row>
      <xdr:rowOff>180975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6197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876300</xdr:colOff>
      <xdr:row>5</xdr:row>
      <xdr:rowOff>19050</xdr:rowOff>
    </xdr:from>
    <xdr:to>
      <xdr:col>1</xdr:col>
      <xdr:colOff>1152525</xdr:colOff>
      <xdr:row>6</xdr:row>
      <xdr:rowOff>19050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9810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876300</xdr:colOff>
      <xdr:row>6</xdr:row>
      <xdr:rowOff>28575</xdr:rowOff>
    </xdr:from>
    <xdr:to>
      <xdr:col>1</xdr:col>
      <xdr:colOff>1152525</xdr:colOff>
      <xdr:row>7</xdr:row>
      <xdr:rowOff>28575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1811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400050</xdr:colOff>
      <xdr:row>4</xdr:row>
      <xdr:rowOff>28575</xdr:rowOff>
    </xdr:from>
    <xdr:to>
      <xdr:col>5</xdr:col>
      <xdr:colOff>676275</xdr:colOff>
      <xdr:row>5</xdr:row>
      <xdr:rowOff>38100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790575"/>
          <a:ext cx="2762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361950</xdr:colOff>
      <xdr:row>5</xdr:row>
      <xdr:rowOff>28575</xdr:rowOff>
    </xdr:from>
    <xdr:to>
      <xdr:col>5</xdr:col>
      <xdr:colOff>685800</xdr:colOff>
      <xdr:row>6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990600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581025</xdr:colOff>
      <xdr:row>4</xdr:row>
      <xdr:rowOff>190500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762000"/>
          <a:ext cx="3333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266700</xdr:colOff>
      <xdr:row>5</xdr:row>
      <xdr:rowOff>9525</xdr:rowOff>
    </xdr:from>
    <xdr:to>
      <xdr:col>7</xdr:col>
      <xdr:colOff>609600</xdr:colOff>
      <xdr:row>6</xdr:row>
      <xdr:rowOff>28575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971550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447675</xdr:colOff>
      <xdr:row>4</xdr:row>
      <xdr:rowOff>19050</xdr:rowOff>
    </xdr:from>
    <xdr:to>
      <xdr:col>9</xdr:col>
      <xdr:colOff>819150</xdr:colOff>
      <xdr:row>5</xdr:row>
      <xdr:rowOff>38100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781050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19050</xdr:rowOff>
    </xdr:from>
    <xdr:to>
      <xdr:col>3</xdr:col>
      <xdr:colOff>647700</xdr:colOff>
      <xdr:row>11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2114550"/>
          <a:ext cx="3714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38100</xdr:colOff>
      <xdr:row>10</xdr:row>
      <xdr:rowOff>19050</xdr:rowOff>
    </xdr:from>
    <xdr:to>
      <xdr:col>9</xdr:col>
      <xdr:colOff>409575</xdr:colOff>
      <xdr:row>11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2114550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171450</xdr:colOff>
      <xdr:row>0</xdr:row>
      <xdr:rowOff>38100</xdr:rowOff>
    </xdr:from>
    <xdr:to>
      <xdr:col>15</xdr:col>
      <xdr:colOff>447675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38100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</xdr:colOff>
      <xdr:row>26</xdr:row>
      <xdr:rowOff>190500</xdr:rowOff>
    </xdr:from>
    <xdr:to>
      <xdr:col>1</xdr:col>
      <xdr:colOff>485775</xdr:colOff>
      <xdr:row>28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100"/>
          <a:ext cx="3143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28</xdr:row>
      <xdr:rowOff>0</xdr:rowOff>
    </xdr:from>
    <xdr:to>
      <xdr:col>1</xdr:col>
      <xdr:colOff>666750</xdr:colOff>
      <xdr:row>29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419600"/>
          <a:ext cx="5905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238125</xdr:colOff>
      <xdr:row>1</xdr:row>
      <xdr:rowOff>171450</xdr:rowOff>
    </xdr:from>
    <xdr:to>
      <xdr:col>11</xdr:col>
      <xdr:colOff>533400</xdr:colOff>
      <xdr:row>2</xdr:row>
      <xdr:rowOff>171450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36195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30</xdr:row>
      <xdr:rowOff>19050</xdr:rowOff>
    </xdr:from>
    <xdr:to>
      <xdr:col>3</xdr:col>
      <xdr:colOff>371475</xdr:colOff>
      <xdr:row>31</xdr:row>
      <xdr:rowOff>38100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819650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200025</xdr:colOff>
      <xdr:row>31</xdr:row>
      <xdr:rowOff>28575</xdr:rowOff>
    </xdr:from>
    <xdr:to>
      <xdr:col>6</xdr:col>
      <xdr:colOff>523875</xdr:colOff>
      <xdr:row>32</xdr:row>
      <xdr:rowOff>28575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5019675"/>
          <a:ext cx="3238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114300</xdr:colOff>
      <xdr:row>31</xdr:row>
      <xdr:rowOff>9525</xdr:rowOff>
    </xdr:from>
    <xdr:to>
      <xdr:col>7</xdr:col>
      <xdr:colOff>438150</xdr:colOff>
      <xdr:row>32</xdr:row>
      <xdr:rowOff>19050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5000625"/>
          <a:ext cx="3238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771525</xdr:colOff>
      <xdr:row>29</xdr:row>
      <xdr:rowOff>133350</xdr:rowOff>
    </xdr:from>
    <xdr:to>
      <xdr:col>15</xdr:col>
      <xdr:colOff>476250</xdr:colOff>
      <xdr:row>30</xdr:row>
      <xdr:rowOff>161925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0" y="5886450"/>
          <a:ext cx="60960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228600</xdr:colOff>
      <xdr:row>0</xdr:row>
      <xdr:rowOff>0</xdr:rowOff>
    </xdr:from>
    <xdr:to>
      <xdr:col>11</xdr:col>
      <xdr:colOff>523875</xdr:colOff>
      <xdr:row>1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0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228600</xdr:colOff>
      <xdr:row>0</xdr:row>
      <xdr:rowOff>180975</xdr:rowOff>
    </xdr:from>
    <xdr:to>
      <xdr:col>11</xdr:col>
      <xdr:colOff>523875</xdr:colOff>
      <xdr:row>1</xdr:row>
      <xdr:rowOff>180975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80975"/>
          <a:ext cx="2952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438150</xdr:colOff>
      <xdr:row>43</xdr:row>
      <xdr:rowOff>9525</xdr:rowOff>
    </xdr:from>
    <xdr:to>
      <xdr:col>3</xdr:col>
      <xdr:colOff>847725</xdr:colOff>
      <xdr:row>43</xdr:row>
      <xdr:rowOff>266700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0" y="7448550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28575</xdr:colOff>
      <xdr:row>43</xdr:row>
      <xdr:rowOff>9525</xdr:rowOff>
    </xdr:from>
    <xdr:to>
      <xdr:col>12</xdr:col>
      <xdr:colOff>152400</xdr:colOff>
      <xdr:row>44</xdr:row>
      <xdr:rowOff>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7448550"/>
          <a:ext cx="78105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438150</xdr:colOff>
      <xdr:row>0</xdr:row>
      <xdr:rowOff>19050</xdr:rowOff>
    </xdr:from>
    <xdr:to>
      <xdr:col>13</xdr:col>
      <xdr:colOff>800100</xdr:colOff>
      <xdr:row>1</xdr:row>
      <xdr:rowOff>38100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19050"/>
          <a:ext cx="3619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428625</xdr:colOff>
      <xdr:row>1</xdr:row>
      <xdr:rowOff>28575</xdr:rowOff>
    </xdr:from>
    <xdr:to>
      <xdr:col>13</xdr:col>
      <xdr:colOff>838200</xdr:colOff>
      <xdr:row>2</xdr:row>
      <xdr:rowOff>47625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219075"/>
          <a:ext cx="4095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476250</xdr:colOff>
      <xdr:row>2</xdr:row>
      <xdr:rowOff>9525</xdr:rowOff>
    </xdr:from>
    <xdr:to>
      <xdr:col>13</xdr:col>
      <xdr:colOff>847725</xdr:colOff>
      <xdr:row>3</xdr:row>
      <xdr:rowOff>38100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390525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43</xdr:row>
      <xdr:rowOff>266700</xdr:rowOff>
    </xdr:from>
    <xdr:to>
      <xdr:col>6</xdr:col>
      <xdr:colOff>561975</xdr:colOff>
      <xdr:row>44</xdr:row>
      <xdr:rowOff>219075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7705725"/>
          <a:ext cx="40005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53</xdr:row>
      <xdr:rowOff>19050</xdr:rowOff>
    </xdr:from>
    <xdr:to>
      <xdr:col>1</xdr:col>
      <xdr:colOff>571500</xdr:colOff>
      <xdr:row>54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9553575"/>
          <a:ext cx="4095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54</xdr:row>
      <xdr:rowOff>38100</xdr:rowOff>
    </xdr:from>
    <xdr:to>
      <xdr:col>1</xdr:col>
      <xdr:colOff>647700</xdr:colOff>
      <xdr:row>55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9839325"/>
          <a:ext cx="647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</xdr:colOff>
      <xdr:row>44</xdr:row>
      <xdr:rowOff>47625</xdr:rowOff>
    </xdr:from>
    <xdr:to>
      <xdr:col>7</xdr:col>
      <xdr:colOff>695325</xdr:colOff>
      <xdr:row>44</xdr:row>
      <xdr:rowOff>266700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7772400"/>
          <a:ext cx="6286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476250</xdr:colOff>
      <xdr:row>3</xdr:row>
      <xdr:rowOff>28575</xdr:rowOff>
    </xdr:from>
    <xdr:to>
      <xdr:col>13</xdr:col>
      <xdr:colOff>828675</xdr:colOff>
      <xdr:row>4</xdr:row>
      <xdr:rowOff>47625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600075"/>
          <a:ext cx="3524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41</xdr:row>
      <xdr:rowOff>28575</xdr:rowOff>
    </xdr:from>
    <xdr:to>
      <xdr:col>1</xdr:col>
      <xdr:colOff>552450</xdr:colOff>
      <xdr:row>41</xdr:row>
      <xdr:rowOff>266700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7000875"/>
          <a:ext cx="3714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180975</xdr:colOff>
      <xdr:row>40</xdr:row>
      <xdr:rowOff>28575</xdr:rowOff>
    </xdr:from>
    <xdr:to>
      <xdr:col>1</xdr:col>
      <xdr:colOff>552450</xdr:colOff>
      <xdr:row>40</xdr:row>
      <xdr:rowOff>247650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6734175"/>
          <a:ext cx="3714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200025</xdr:colOff>
      <xdr:row>0</xdr:row>
      <xdr:rowOff>180975</xdr:rowOff>
    </xdr:from>
    <xdr:to>
      <xdr:col>14</xdr:col>
      <xdr:colOff>476250</xdr:colOff>
      <xdr:row>0</xdr:row>
      <xdr:rowOff>180975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809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114300</xdr:colOff>
      <xdr:row>1</xdr:row>
      <xdr:rowOff>28575</xdr:rowOff>
    </xdr:from>
    <xdr:to>
      <xdr:col>17</xdr:col>
      <xdr:colOff>390525</xdr:colOff>
      <xdr:row>2</xdr:row>
      <xdr:rowOff>28575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4400" y="2190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476250</xdr:colOff>
      <xdr:row>4</xdr:row>
      <xdr:rowOff>28575</xdr:rowOff>
    </xdr:from>
    <xdr:to>
      <xdr:col>13</xdr:col>
      <xdr:colOff>819150</xdr:colOff>
      <xdr:row>5</xdr:row>
      <xdr:rowOff>47625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72650" y="790575"/>
          <a:ext cx="3429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295275</xdr:colOff>
      <xdr:row>6</xdr:row>
      <xdr:rowOff>0</xdr:rowOff>
    </xdr:from>
    <xdr:to>
      <xdr:col>11</xdr:col>
      <xdr:colOff>523875</xdr:colOff>
      <xdr:row>6</xdr:row>
      <xdr:rowOff>190500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1181100"/>
          <a:ext cx="2286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314325</xdr:colOff>
      <xdr:row>5</xdr:row>
      <xdr:rowOff>28575</xdr:rowOff>
    </xdr:from>
    <xdr:to>
      <xdr:col>11</xdr:col>
      <xdr:colOff>523875</xdr:colOff>
      <xdr:row>5</xdr:row>
      <xdr:rowOff>219075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81075"/>
          <a:ext cx="2095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9525</xdr:colOff>
      <xdr:row>3</xdr:row>
      <xdr:rowOff>57150</xdr:rowOff>
    </xdr:from>
    <xdr:to>
      <xdr:col>15</xdr:col>
      <xdr:colOff>476250</xdr:colOff>
      <xdr:row>4</xdr:row>
      <xdr:rowOff>76200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9475" y="628650"/>
          <a:ext cx="4667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54</xdr:row>
      <xdr:rowOff>257175</xdr:rowOff>
    </xdr:from>
    <xdr:to>
      <xdr:col>1</xdr:col>
      <xdr:colOff>476250</xdr:colOff>
      <xdr:row>56</xdr:row>
      <xdr:rowOff>19050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0058400"/>
          <a:ext cx="3524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76200</xdr:colOff>
      <xdr:row>44</xdr:row>
      <xdr:rowOff>38100</xdr:rowOff>
    </xdr:from>
    <xdr:to>
      <xdr:col>8</xdr:col>
      <xdr:colOff>409575</xdr:colOff>
      <xdr:row>44</xdr:row>
      <xdr:rowOff>247650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7762875"/>
          <a:ext cx="3333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9</xdr:row>
      <xdr:rowOff>171450</xdr:rowOff>
    </xdr:from>
    <xdr:to>
      <xdr:col>16</xdr:col>
      <xdr:colOff>133350</xdr:colOff>
      <xdr:row>10</xdr:row>
      <xdr:rowOff>209550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5075" y="2038350"/>
          <a:ext cx="16192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400050</xdr:colOff>
      <xdr:row>3</xdr:row>
      <xdr:rowOff>180975</xdr:rowOff>
    </xdr:from>
    <xdr:to>
      <xdr:col>1</xdr:col>
      <xdr:colOff>647700</xdr:colOff>
      <xdr:row>5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752475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400050</xdr:colOff>
      <xdr:row>5</xdr:row>
      <xdr:rowOff>47625</xdr:rowOff>
    </xdr:from>
    <xdr:to>
      <xdr:col>1</xdr:col>
      <xdr:colOff>638175</xdr:colOff>
      <xdr:row>6</xdr:row>
      <xdr:rowOff>28575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000125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409575</xdr:colOff>
      <xdr:row>6</xdr:row>
      <xdr:rowOff>9525</xdr:rowOff>
    </xdr:from>
    <xdr:to>
      <xdr:col>1</xdr:col>
      <xdr:colOff>657225</xdr:colOff>
      <xdr:row>6</xdr:row>
      <xdr:rowOff>219075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90625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4</xdr:row>
      <xdr:rowOff>19050</xdr:rowOff>
    </xdr:from>
    <xdr:to>
      <xdr:col>6</xdr:col>
      <xdr:colOff>561975</xdr:colOff>
      <xdr:row>5</xdr:row>
      <xdr:rowOff>38100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781050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314325</xdr:colOff>
      <xdr:row>5</xdr:row>
      <xdr:rowOff>76200</xdr:rowOff>
    </xdr:from>
    <xdr:to>
      <xdr:col>6</xdr:col>
      <xdr:colOff>552450</xdr:colOff>
      <xdr:row>6</xdr:row>
      <xdr:rowOff>57150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10287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6</xdr:row>
      <xdr:rowOff>38100</xdr:rowOff>
    </xdr:from>
    <xdr:to>
      <xdr:col>6</xdr:col>
      <xdr:colOff>609600</xdr:colOff>
      <xdr:row>7</xdr:row>
      <xdr:rowOff>19050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219200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304800</xdr:colOff>
      <xdr:row>7</xdr:row>
      <xdr:rowOff>9525</xdr:rowOff>
    </xdr:from>
    <xdr:to>
      <xdr:col>1</xdr:col>
      <xdr:colOff>600075</xdr:colOff>
      <xdr:row>7</xdr:row>
      <xdr:rowOff>219075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19225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333375</xdr:colOff>
      <xdr:row>8</xdr:row>
      <xdr:rowOff>0</xdr:rowOff>
    </xdr:from>
    <xdr:to>
      <xdr:col>1</xdr:col>
      <xdr:colOff>638175</xdr:colOff>
      <xdr:row>8</xdr:row>
      <xdr:rowOff>209550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638300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7</xdr:row>
      <xdr:rowOff>19050</xdr:rowOff>
    </xdr:from>
    <xdr:to>
      <xdr:col>6</xdr:col>
      <xdr:colOff>628650</xdr:colOff>
      <xdr:row>8</xdr:row>
      <xdr:rowOff>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42875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361950</xdr:colOff>
      <xdr:row>8</xdr:row>
      <xdr:rowOff>9525</xdr:rowOff>
    </xdr:from>
    <xdr:to>
      <xdr:col>6</xdr:col>
      <xdr:colOff>666750</xdr:colOff>
      <xdr:row>8</xdr:row>
      <xdr:rowOff>219075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647825"/>
          <a:ext cx="3048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247650</xdr:colOff>
      <xdr:row>8</xdr:row>
      <xdr:rowOff>28575</xdr:rowOff>
    </xdr:from>
    <xdr:to>
      <xdr:col>3</xdr:col>
      <xdr:colOff>666750</xdr:colOff>
      <xdr:row>9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666875"/>
          <a:ext cx="4191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190500</xdr:colOff>
      <xdr:row>1</xdr:row>
      <xdr:rowOff>85725</xdr:rowOff>
    </xdr:from>
    <xdr:to>
      <xdr:col>15</xdr:col>
      <xdr:colOff>466725</xdr:colOff>
      <xdr:row>2</xdr:row>
      <xdr:rowOff>104775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276225"/>
          <a:ext cx="2762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209550</xdr:colOff>
      <xdr:row>2</xdr:row>
      <xdr:rowOff>66675</xdr:rowOff>
    </xdr:from>
    <xdr:to>
      <xdr:col>15</xdr:col>
      <xdr:colOff>457200</xdr:colOff>
      <xdr:row>3</xdr:row>
      <xdr:rowOff>85725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447675"/>
          <a:ext cx="2476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95250</xdr:colOff>
      <xdr:row>0</xdr:row>
      <xdr:rowOff>28575</xdr:rowOff>
    </xdr:from>
    <xdr:to>
      <xdr:col>17</xdr:col>
      <xdr:colOff>371475</xdr:colOff>
      <xdr:row>1</xdr:row>
      <xdr:rowOff>28575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85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323850</xdr:colOff>
      <xdr:row>4</xdr:row>
      <xdr:rowOff>19050</xdr:rowOff>
    </xdr:from>
    <xdr:to>
      <xdr:col>3</xdr:col>
      <xdr:colOff>609600</xdr:colOff>
      <xdr:row>5</xdr:row>
      <xdr:rowOff>19050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8105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342900</xdr:colOff>
      <xdr:row>5</xdr:row>
      <xdr:rowOff>28575</xdr:rowOff>
    </xdr:from>
    <xdr:to>
      <xdr:col>3</xdr:col>
      <xdr:colOff>619125</xdr:colOff>
      <xdr:row>5</xdr:row>
      <xdr:rowOff>219075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98107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323850</xdr:colOff>
      <xdr:row>6</xdr:row>
      <xdr:rowOff>28575</xdr:rowOff>
    </xdr:from>
    <xdr:to>
      <xdr:col>3</xdr:col>
      <xdr:colOff>609600</xdr:colOff>
      <xdr:row>6</xdr:row>
      <xdr:rowOff>219075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20967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333375</xdr:colOff>
      <xdr:row>7</xdr:row>
      <xdr:rowOff>28575</xdr:rowOff>
    </xdr:from>
    <xdr:to>
      <xdr:col>3</xdr:col>
      <xdr:colOff>619125</xdr:colOff>
      <xdr:row>7</xdr:row>
      <xdr:rowOff>219075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43827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95250</xdr:colOff>
      <xdr:row>8</xdr:row>
      <xdr:rowOff>9525</xdr:rowOff>
    </xdr:from>
    <xdr:to>
      <xdr:col>8</xdr:col>
      <xdr:colOff>514350</xdr:colOff>
      <xdr:row>8</xdr:row>
      <xdr:rowOff>219075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1647825"/>
          <a:ext cx="41910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200025</xdr:colOff>
      <xdr:row>4</xdr:row>
      <xdr:rowOff>0</xdr:rowOff>
    </xdr:from>
    <xdr:to>
      <xdr:col>8</xdr:col>
      <xdr:colOff>485775</xdr:colOff>
      <xdr:row>5</xdr:row>
      <xdr:rowOff>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620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219075</xdr:colOff>
      <xdr:row>5</xdr:row>
      <xdr:rowOff>9525</xdr:rowOff>
    </xdr:from>
    <xdr:to>
      <xdr:col>8</xdr:col>
      <xdr:colOff>495300</xdr:colOff>
      <xdr:row>5</xdr:row>
      <xdr:rowOff>200025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962025"/>
          <a:ext cx="2762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200025</xdr:colOff>
      <xdr:row>6</xdr:row>
      <xdr:rowOff>9525</xdr:rowOff>
    </xdr:from>
    <xdr:to>
      <xdr:col>8</xdr:col>
      <xdr:colOff>485775</xdr:colOff>
      <xdr:row>6</xdr:row>
      <xdr:rowOff>200025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19062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209550</xdr:colOff>
      <xdr:row>7</xdr:row>
      <xdr:rowOff>9525</xdr:rowOff>
    </xdr:from>
    <xdr:to>
      <xdr:col>8</xdr:col>
      <xdr:colOff>495300</xdr:colOff>
      <xdr:row>7</xdr:row>
      <xdr:rowOff>200025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19225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304800</xdr:colOff>
      <xdr:row>29</xdr:row>
      <xdr:rowOff>133350</xdr:rowOff>
    </xdr:from>
    <xdr:to>
      <xdr:col>11</xdr:col>
      <xdr:colOff>209550</xdr:colOff>
      <xdr:row>31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5886450"/>
          <a:ext cx="800100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50"/>
  <sheetViews>
    <sheetView workbookViewId="0">
      <selection activeCell="C6" sqref="C6:F6"/>
    </sheetView>
  </sheetViews>
  <sheetFormatPr defaultRowHeight="15" x14ac:dyDescent="0.25"/>
  <cols>
    <col min="1" max="1" width="5.140625" customWidth="1"/>
    <col min="2" max="2" width="10.42578125" customWidth="1"/>
    <col min="3" max="3" width="11.5703125" style="1" customWidth="1"/>
    <col min="4" max="4" width="13.140625" style="1" customWidth="1"/>
    <col min="5" max="5" width="12.85546875" style="1" customWidth="1"/>
    <col min="6" max="6" width="11.5703125" style="1" customWidth="1"/>
    <col min="7" max="7" width="11.7109375" style="1" customWidth="1"/>
    <col min="8" max="8" width="11.85546875" style="1" customWidth="1"/>
    <col min="9" max="9" width="8.5703125" style="1" customWidth="1"/>
    <col min="10" max="10" width="7.42578125" style="1" customWidth="1"/>
    <col min="11" max="11" width="8.5703125" style="1" customWidth="1"/>
    <col min="12" max="13" width="9.85546875" style="1" customWidth="1"/>
    <col min="14" max="14" width="11.42578125" style="1" customWidth="1"/>
    <col min="15" max="15" width="6.140625" style="1" customWidth="1"/>
    <col min="16" max="16" width="7.5703125" style="1" customWidth="1"/>
    <col min="17" max="17" width="10.42578125" style="1" customWidth="1"/>
    <col min="18" max="18" width="7.7109375" style="1" customWidth="1"/>
    <col min="19" max="20" width="7.5703125" style="1" customWidth="1"/>
    <col min="21" max="21" width="5.5703125" style="1" customWidth="1"/>
    <col min="22" max="22" width="7" style="1" customWidth="1"/>
    <col min="23" max="23" width="6.42578125" style="4" customWidth="1"/>
    <col min="24" max="24" width="7" style="4" customWidth="1"/>
    <col min="25" max="25" width="8.140625" customWidth="1"/>
    <col min="33" max="33" width="6" customWidth="1"/>
  </cols>
  <sheetData>
    <row r="1" spans="2:24" x14ac:dyDescent="0.25">
      <c r="B1" s="123" t="s">
        <v>15</v>
      </c>
      <c r="C1" s="333">
        <f>G3/(MAX(0,G3)+MAX(0,E3)+MAX(C3,0)+MAX(C2,0))</f>
        <v>0.74967553709128942</v>
      </c>
      <c r="D1" s="121"/>
      <c r="E1" s="123" t="s">
        <v>20</v>
      </c>
      <c r="F1" s="334">
        <f>(G3+E3+MAX(C3,0))/(G3+E3+MAX(C3,0)+C2)</f>
        <v>0.78768299814505682</v>
      </c>
      <c r="G1" s="122"/>
    </row>
    <row r="2" spans="2:24" x14ac:dyDescent="0.25">
      <c r="B2" s="112"/>
      <c r="C2" s="113">
        <f>(N2-K3)/(O5-Q2)</f>
        <v>460.89743589745979</v>
      </c>
      <c r="D2" s="114"/>
      <c r="E2" s="115">
        <f>(K3-N3-(Q2-O14)*C2)/(O5-Q9)</f>
        <v>-15.043080896326144</v>
      </c>
      <c r="F2" s="114"/>
      <c r="G2" s="116">
        <f>(K3-K2-(Q2-Q14)*C2)/(O5-Q10)</f>
        <v>1529.8449336766614</v>
      </c>
      <c r="J2"/>
      <c r="K2" s="330">
        <f>G50</f>
        <v>4583237.0238095233</v>
      </c>
      <c r="L2" s="330"/>
      <c r="M2"/>
      <c r="N2" s="20">
        <f>SUM(I8:L22)</f>
        <v>4682525</v>
      </c>
      <c r="Q2" s="16">
        <f>COUNTIF(C28:F35,"&gt;0")</f>
        <v>31</v>
      </c>
    </row>
    <row r="3" spans="2:24" x14ac:dyDescent="0.25">
      <c r="B3" s="117"/>
      <c r="C3" s="118">
        <f>((O5-Q6)*G2+(Q9-Q8)*E2-(N3-Q3^2/O5-(O14-1)*C2))/(O5-Q6-Q8+Q12)</f>
        <v>-97.549621548318385</v>
      </c>
      <c r="D3" s="119"/>
      <c r="E3" s="118">
        <f>E2-C3</f>
        <v>82.506540651992239</v>
      </c>
      <c r="F3" s="119"/>
      <c r="G3" s="120">
        <f>G2-C3</f>
        <v>1627.3945552249797</v>
      </c>
      <c r="J3"/>
      <c r="K3" s="331">
        <f>SUM(K41:N48)</f>
        <v>4670541.666666666</v>
      </c>
      <c r="L3" s="331"/>
      <c r="M3"/>
      <c r="N3" s="80">
        <f>H49</f>
        <v>4660577.7191558443</v>
      </c>
      <c r="Q3" s="92">
        <f>SUM(C8:F22)</f>
        <v>16155</v>
      </c>
      <c r="R3" s="109"/>
    </row>
    <row r="5" spans="2:24" x14ac:dyDescent="0.25">
      <c r="N5" s="100" t="s">
        <v>19</v>
      </c>
      <c r="O5" s="101">
        <f>G36</f>
        <v>57</v>
      </c>
      <c r="P5" s="102" t="s">
        <v>7</v>
      </c>
      <c r="Q5" s="103">
        <f>H36</f>
        <v>451</v>
      </c>
      <c r="W5" s="64"/>
      <c r="X5" s="64"/>
    </row>
    <row r="6" spans="2:24" ht="18" customHeight="1" x14ac:dyDescent="0.25">
      <c r="C6" s="329"/>
      <c r="D6" s="329"/>
      <c r="E6" s="329"/>
      <c r="F6" s="329"/>
      <c r="N6" s="77"/>
      <c r="O6" s="23"/>
      <c r="P6" s="104" t="s">
        <v>11</v>
      </c>
      <c r="Q6" s="105">
        <f>Q5/O5</f>
        <v>7.9122807017543861</v>
      </c>
    </row>
    <row r="7" spans="2:24" x14ac:dyDescent="0.25">
      <c r="B7" s="41" t="s">
        <v>0</v>
      </c>
      <c r="C7" s="8" t="s">
        <v>1</v>
      </c>
      <c r="D7" s="8" t="s">
        <v>2</v>
      </c>
      <c r="E7" s="8" t="s">
        <v>3</v>
      </c>
      <c r="F7" s="11" t="s">
        <v>4</v>
      </c>
      <c r="G7" s="110"/>
      <c r="H7" s="41" t="s">
        <v>0</v>
      </c>
      <c r="I7" s="8" t="s">
        <v>1</v>
      </c>
      <c r="J7" s="8" t="s">
        <v>2</v>
      </c>
      <c r="K7" s="8" t="s">
        <v>3</v>
      </c>
      <c r="L7" s="11" t="s">
        <v>4</v>
      </c>
      <c r="N7" s="77"/>
      <c r="O7" s="23"/>
      <c r="P7" s="95" t="s">
        <v>6</v>
      </c>
      <c r="Q7" s="106">
        <f>G37</f>
        <v>813</v>
      </c>
      <c r="R7" s="23"/>
      <c r="S7" s="23"/>
      <c r="T7" s="23"/>
      <c r="U7" s="23"/>
    </row>
    <row r="8" spans="2:24" x14ac:dyDescent="0.25">
      <c r="B8" s="42">
        <v>1</v>
      </c>
      <c r="C8" s="23">
        <v>190</v>
      </c>
      <c r="D8" s="23">
        <v>220</v>
      </c>
      <c r="E8" s="23">
        <v>200</v>
      </c>
      <c r="F8" s="7">
        <v>200</v>
      </c>
      <c r="G8" s="111"/>
      <c r="H8" s="42">
        <v>1</v>
      </c>
      <c r="I8" s="25">
        <f t="shared" ref="I8:I22" si="0">IF(LEN(C8)&gt;0,C8^2,"")</f>
        <v>36100</v>
      </c>
      <c r="J8" s="25">
        <f t="shared" ref="J8:J22" si="1">IF(LEN(D8)&gt;0,D8^2,"")</f>
        <v>48400</v>
      </c>
      <c r="K8" s="25">
        <f t="shared" ref="K8:K22" si="2">IF(LEN(E8)&gt;0,E8^2,"")</f>
        <v>40000</v>
      </c>
      <c r="L8" s="79">
        <f t="shared" ref="L8:L22" si="3">IF(LEN(F8)&gt;0,F8^2,"")</f>
        <v>40000</v>
      </c>
      <c r="N8" s="77"/>
      <c r="O8" s="25"/>
      <c r="P8" s="95" t="s">
        <v>12</v>
      </c>
      <c r="Q8" s="106">
        <f>Q7/O5</f>
        <v>14.263157894736842</v>
      </c>
      <c r="R8" s="25"/>
      <c r="S8" s="25"/>
      <c r="T8" s="25"/>
      <c r="U8" s="23"/>
    </row>
    <row r="9" spans="2:24" x14ac:dyDescent="0.25">
      <c r="B9" s="42">
        <v>1</v>
      </c>
      <c r="C9" s="23">
        <v>220</v>
      </c>
      <c r="D9" s="23">
        <v>200</v>
      </c>
      <c r="E9" s="23">
        <v>240</v>
      </c>
      <c r="F9" s="7">
        <v>230</v>
      </c>
      <c r="G9" s="111"/>
      <c r="H9" s="42">
        <v>2</v>
      </c>
      <c r="I9" s="25">
        <f t="shared" si="0"/>
        <v>48400</v>
      </c>
      <c r="J9" s="25">
        <f t="shared" si="1"/>
        <v>40000</v>
      </c>
      <c r="K9" s="25">
        <f t="shared" si="2"/>
        <v>57600</v>
      </c>
      <c r="L9" s="26">
        <f t="shared" si="3"/>
        <v>52900</v>
      </c>
      <c r="N9" s="77"/>
      <c r="O9" s="25"/>
      <c r="P9" s="104" t="s">
        <v>5</v>
      </c>
      <c r="Q9" s="105">
        <f>SUM(O28:R35)</f>
        <v>14.675324675324672</v>
      </c>
      <c r="R9" s="25"/>
      <c r="S9" s="25"/>
      <c r="T9" s="25"/>
      <c r="U9" s="23"/>
    </row>
    <row r="10" spans="2:24" x14ac:dyDescent="0.25">
      <c r="B10" s="65">
        <v>2</v>
      </c>
      <c r="C10" s="66">
        <v>260</v>
      </c>
      <c r="D10" s="66">
        <v>260</v>
      </c>
      <c r="E10" s="66">
        <v>240</v>
      </c>
      <c r="F10" s="67">
        <v>280</v>
      </c>
      <c r="G10" s="111"/>
      <c r="H10" s="42">
        <v>3</v>
      </c>
      <c r="I10" s="25">
        <f t="shared" si="0"/>
        <v>67600</v>
      </c>
      <c r="J10" s="25">
        <f t="shared" si="1"/>
        <v>67600</v>
      </c>
      <c r="K10" s="25">
        <f t="shared" si="2"/>
        <v>57600</v>
      </c>
      <c r="L10" s="26">
        <f t="shared" si="3"/>
        <v>78400</v>
      </c>
      <c r="N10" s="77"/>
      <c r="O10" s="25"/>
      <c r="P10" s="95" t="s">
        <v>8</v>
      </c>
      <c r="Q10" s="106">
        <f>SUM(J28:M35)</f>
        <v>8.0666666666666629</v>
      </c>
      <c r="R10" s="25"/>
      <c r="S10" s="25"/>
      <c r="T10" s="25"/>
      <c r="U10" s="23"/>
    </row>
    <row r="11" spans="2:24" x14ac:dyDescent="0.25">
      <c r="B11" s="65">
        <v>2</v>
      </c>
      <c r="C11" s="66">
        <v>210</v>
      </c>
      <c r="D11" s="66">
        <v>300</v>
      </c>
      <c r="E11" s="66">
        <v>280</v>
      </c>
      <c r="F11" s="67">
        <v>265</v>
      </c>
      <c r="G11" s="111"/>
      <c r="H11" s="42">
        <v>4</v>
      </c>
      <c r="I11" s="25">
        <f t="shared" si="0"/>
        <v>44100</v>
      </c>
      <c r="J11" s="25">
        <f t="shared" si="1"/>
        <v>90000</v>
      </c>
      <c r="K11" s="25">
        <f t="shared" si="2"/>
        <v>78400</v>
      </c>
      <c r="L11" s="26">
        <f t="shared" si="3"/>
        <v>70225</v>
      </c>
      <c r="N11" s="77"/>
      <c r="O11" s="25"/>
      <c r="P11" s="104" t="s">
        <v>9</v>
      </c>
      <c r="Q11" s="105">
        <f>SUMSQ(C28:F35)</f>
        <v>115</v>
      </c>
      <c r="R11" s="25"/>
      <c r="S11" s="25"/>
      <c r="T11" s="25"/>
      <c r="U11" s="23"/>
    </row>
    <row r="12" spans="2:24" x14ac:dyDescent="0.25">
      <c r="B12" s="42">
        <v>3</v>
      </c>
      <c r="C12" s="23">
        <v>270</v>
      </c>
      <c r="D12" s="23">
        <v>265</v>
      </c>
      <c r="E12" s="23">
        <v>280</v>
      </c>
      <c r="F12" s="7">
        <v>270</v>
      </c>
      <c r="G12" s="111"/>
      <c r="H12" s="42">
        <v>5</v>
      </c>
      <c r="I12" s="25">
        <f t="shared" si="0"/>
        <v>72900</v>
      </c>
      <c r="J12" s="25">
        <f t="shared" si="1"/>
        <v>70225</v>
      </c>
      <c r="K12" s="25">
        <f t="shared" si="2"/>
        <v>78400</v>
      </c>
      <c r="L12" s="26">
        <f t="shared" si="3"/>
        <v>72900</v>
      </c>
      <c r="N12" s="78"/>
      <c r="O12" s="27"/>
      <c r="P12" s="107" t="s">
        <v>13</v>
      </c>
      <c r="Q12" s="108">
        <f>Q11/O5</f>
        <v>2.0175438596491229</v>
      </c>
      <c r="R12" s="25"/>
      <c r="S12" s="25"/>
      <c r="T12" s="25"/>
      <c r="U12" s="23"/>
    </row>
    <row r="13" spans="2:24" x14ac:dyDescent="0.25">
      <c r="B13" s="42">
        <v>3</v>
      </c>
      <c r="C13" s="23">
        <v>280</v>
      </c>
      <c r="D13" s="23">
        <v>280</v>
      </c>
      <c r="E13" s="23">
        <v>270</v>
      </c>
      <c r="F13" s="7">
        <v>275</v>
      </c>
      <c r="G13" s="111"/>
      <c r="H13" s="42">
        <v>6</v>
      </c>
      <c r="I13" s="25">
        <f t="shared" si="0"/>
        <v>78400</v>
      </c>
      <c r="J13" s="25">
        <f t="shared" si="1"/>
        <v>78400</v>
      </c>
      <c r="K13" s="25">
        <f t="shared" si="2"/>
        <v>72900</v>
      </c>
      <c r="L13" s="26">
        <f t="shared" si="3"/>
        <v>75625</v>
      </c>
      <c r="O13" s="20"/>
      <c r="P13" s="18"/>
      <c r="Q13" s="25"/>
      <c r="R13" s="25"/>
      <c r="S13" s="25"/>
      <c r="T13" s="25"/>
      <c r="U13" s="23"/>
    </row>
    <row r="14" spans="2:24" x14ac:dyDescent="0.25">
      <c r="B14" s="42">
        <v>3</v>
      </c>
      <c r="C14" s="23">
        <v>260</v>
      </c>
      <c r="D14" s="74"/>
      <c r="E14" s="23">
        <v>280</v>
      </c>
      <c r="F14" s="7">
        <v>300</v>
      </c>
      <c r="G14" s="111"/>
      <c r="H14" s="42">
        <v>7</v>
      </c>
      <c r="I14" s="25">
        <f t="shared" si="0"/>
        <v>67600</v>
      </c>
      <c r="J14" s="25" t="str">
        <f t="shared" si="1"/>
        <v/>
      </c>
      <c r="K14" s="25">
        <f t="shared" si="2"/>
        <v>78400</v>
      </c>
      <c r="L14" s="26">
        <f t="shared" si="3"/>
        <v>90000</v>
      </c>
      <c r="N14" s="17" t="s">
        <v>10</v>
      </c>
      <c r="O14" s="33">
        <f>COUNT(B28:B35)</f>
        <v>8</v>
      </c>
      <c r="P14" s="4" t="s">
        <v>14</v>
      </c>
      <c r="Q14" s="19">
        <f>COUNTA(C7:F7)</f>
        <v>4</v>
      </c>
      <c r="R14" s="25"/>
      <c r="S14" s="25"/>
      <c r="T14" s="25"/>
      <c r="U14" s="23"/>
    </row>
    <row r="15" spans="2:24" x14ac:dyDescent="0.25">
      <c r="B15" s="65">
        <v>4</v>
      </c>
      <c r="C15" s="66">
        <v>275</v>
      </c>
      <c r="D15" s="66">
        <v>275</v>
      </c>
      <c r="E15" s="66">
        <v>275</v>
      </c>
      <c r="F15" s="73"/>
      <c r="G15" s="111"/>
      <c r="H15" s="42">
        <v>8</v>
      </c>
      <c r="I15" s="25">
        <f t="shared" si="0"/>
        <v>75625</v>
      </c>
      <c r="J15" s="25">
        <f t="shared" si="1"/>
        <v>75625</v>
      </c>
      <c r="K15" s="25">
        <f t="shared" si="2"/>
        <v>75625</v>
      </c>
      <c r="L15" s="26" t="str">
        <f t="shared" si="3"/>
        <v/>
      </c>
      <c r="P15" s="18"/>
      <c r="Q15" s="25"/>
      <c r="R15" s="25"/>
      <c r="S15" s="25"/>
      <c r="T15" s="25"/>
      <c r="U15" s="23"/>
    </row>
    <row r="16" spans="2:24" x14ac:dyDescent="0.25">
      <c r="B16" s="42">
        <v>5</v>
      </c>
      <c r="C16" s="23">
        <v>280</v>
      </c>
      <c r="D16" s="23">
        <v>290</v>
      </c>
      <c r="E16" s="23">
        <v>300</v>
      </c>
      <c r="F16" s="7">
        <v>290</v>
      </c>
      <c r="G16" s="111"/>
      <c r="H16" s="42">
        <v>9</v>
      </c>
      <c r="I16" s="25">
        <f t="shared" si="0"/>
        <v>78400</v>
      </c>
      <c r="J16" s="25">
        <f t="shared" si="1"/>
        <v>84100</v>
      </c>
      <c r="K16" s="25">
        <f t="shared" si="2"/>
        <v>90000</v>
      </c>
      <c r="L16" s="26">
        <f t="shared" si="3"/>
        <v>84100</v>
      </c>
      <c r="O16" s="20"/>
      <c r="P16" s="18"/>
      <c r="Q16" s="25"/>
      <c r="R16" s="25"/>
      <c r="S16" s="25"/>
      <c r="T16" s="25"/>
      <c r="U16" s="23"/>
    </row>
    <row r="17" spans="2:24" x14ac:dyDescent="0.25">
      <c r="B17" s="42">
        <v>5</v>
      </c>
      <c r="C17" s="23">
        <v>320</v>
      </c>
      <c r="D17" s="23">
        <v>290</v>
      </c>
      <c r="E17" s="23">
        <v>300</v>
      </c>
      <c r="F17" s="7">
        <v>290</v>
      </c>
      <c r="G17" s="111"/>
      <c r="H17" s="42">
        <v>10</v>
      </c>
      <c r="I17" s="25">
        <f t="shared" si="0"/>
        <v>102400</v>
      </c>
      <c r="J17" s="25">
        <f t="shared" si="1"/>
        <v>84100</v>
      </c>
      <c r="K17" s="25">
        <f t="shared" si="2"/>
        <v>90000</v>
      </c>
      <c r="L17" s="26">
        <f t="shared" si="3"/>
        <v>84100</v>
      </c>
      <c r="O17" s="20"/>
      <c r="P17" s="18"/>
      <c r="Q17" s="25"/>
      <c r="R17" s="25"/>
      <c r="S17" s="25"/>
      <c r="T17" s="25"/>
      <c r="U17" s="23"/>
    </row>
    <row r="18" spans="2:24" x14ac:dyDescent="0.25">
      <c r="B18" s="65">
        <v>6</v>
      </c>
      <c r="C18" s="66">
        <v>300</v>
      </c>
      <c r="D18" s="66">
        <v>300</v>
      </c>
      <c r="E18" s="66">
        <v>310</v>
      </c>
      <c r="F18" s="67">
        <v>300</v>
      </c>
      <c r="G18" s="111"/>
      <c r="H18" s="42">
        <v>11</v>
      </c>
      <c r="I18" s="25">
        <f t="shared" si="0"/>
        <v>90000</v>
      </c>
      <c r="J18" s="25">
        <f t="shared" si="1"/>
        <v>90000</v>
      </c>
      <c r="K18" s="25">
        <f t="shared" si="2"/>
        <v>96100</v>
      </c>
      <c r="L18" s="26">
        <f t="shared" si="3"/>
        <v>90000</v>
      </c>
      <c r="O18" s="20"/>
      <c r="P18" s="18"/>
      <c r="Q18" s="25"/>
      <c r="R18" s="25"/>
      <c r="S18" s="25"/>
      <c r="T18" s="25"/>
      <c r="U18" s="23"/>
    </row>
    <row r="19" spans="2:24" x14ac:dyDescent="0.25">
      <c r="B19" s="65">
        <v>6</v>
      </c>
      <c r="C19" s="66">
        <v>270</v>
      </c>
      <c r="D19" s="66">
        <v>250</v>
      </c>
      <c r="E19" s="66">
        <v>330</v>
      </c>
      <c r="F19" s="67">
        <v>370</v>
      </c>
      <c r="G19" s="111"/>
      <c r="H19" s="42">
        <v>12</v>
      </c>
      <c r="I19" s="25">
        <f t="shared" si="0"/>
        <v>72900</v>
      </c>
      <c r="J19" s="25">
        <f t="shared" si="1"/>
        <v>62500</v>
      </c>
      <c r="K19" s="25">
        <f t="shared" si="2"/>
        <v>108900</v>
      </c>
      <c r="L19" s="26">
        <f t="shared" si="3"/>
        <v>136900</v>
      </c>
      <c r="O19" s="20"/>
      <c r="P19" s="18"/>
      <c r="Q19" s="25"/>
      <c r="R19" s="25"/>
      <c r="S19" s="25"/>
      <c r="T19" s="25"/>
      <c r="U19" s="23"/>
    </row>
    <row r="20" spans="2:24" x14ac:dyDescent="0.25">
      <c r="B20" s="42">
        <v>7</v>
      </c>
      <c r="C20" s="23">
        <v>320</v>
      </c>
      <c r="D20" s="23">
        <v>330</v>
      </c>
      <c r="E20" s="23">
        <v>330</v>
      </c>
      <c r="F20" s="7">
        <v>330</v>
      </c>
      <c r="G20" s="111"/>
      <c r="H20" s="42">
        <v>13</v>
      </c>
      <c r="I20" s="25">
        <f t="shared" si="0"/>
        <v>102400</v>
      </c>
      <c r="J20" s="25">
        <f t="shared" si="1"/>
        <v>108900</v>
      </c>
      <c r="K20" s="25">
        <f t="shared" si="2"/>
        <v>108900</v>
      </c>
      <c r="L20" s="26">
        <f t="shared" si="3"/>
        <v>108900</v>
      </c>
      <c r="O20" s="20"/>
      <c r="P20" s="18"/>
      <c r="Q20" s="25"/>
      <c r="R20" s="25"/>
      <c r="S20" s="25"/>
      <c r="T20" s="25"/>
      <c r="U20" s="23"/>
    </row>
    <row r="21" spans="2:24" x14ac:dyDescent="0.25">
      <c r="B21" s="42">
        <v>7</v>
      </c>
      <c r="C21" s="74"/>
      <c r="D21" s="23">
        <v>320</v>
      </c>
      <c r="E21" s="23">
        <v>335</v>
      </c>
      <c r="F21" s="7">
        <v>375</v>
      </c>
      <c r="G21" s="111"/>
      <c r="H21" s="42">
        <v>14</v>
      </c>
      <c r="I21" s="25" t="str">
        <f t="shared" si="0"/>
        <v/>
      </c>
      <c r="J21" s="25">
        <f t="shared" si="1"/>
        <v>102400</v>
      </c>
      <c r="K21" s="25">
        <f t="shared" si="2"/>
        <v>112225</v>
      </c>
      <c r="L21" s="26">
        <f t="shared" si="3"/>
        <v>140625</v>
      </c>
      <c r="O21" s="20"/>
      <c r="P21" s="18"/>
      <c r="Q21" s="25"/>
      <c r="R21" s="25"/>
      <c r="S21" s="25"/>
      <c r="T21" s="25"/>
      <c r="U21" s="23"/>
    </row>
    <row r="22" spans="2:24" x14ac:dyDescent="0.25">
      <c r="B22" s="68">
        <v>8</v>
      </c>
      <c r="C22" s="69">
        <v>350</v>
      </c>
      <c r="D22" s="69">
        <v>320</v>
      </c>
      <c r="E22" s="69">
        <v>340</v>
      </c>
      <c r="F22" s="70">
        <v>365</v>
      </c>
      <c r="G22" s="111"/>
      <c r="H22" s="43">
        <v>15</v>
      </c>
      <c r="I22" s="40">
        <f t="shared" si="0"/>
        <v>122500</v>
      </c>
      <c r="J22" s="27">
        <f t="shared" si="1"/>
        <v>102400</v>
      </c>
      <c r="K22" s="27">
        <f t="shared" si="2"/>
        <v>115600</v>
      </c>
      <c r="L22" s="28">
        <f t="shared" si="3"/>
        <v>133225</v>
      </c>
      <c r="O22" s="20"/>
      <c r="P22" s="18"/>
      <c r="Q22" s="25"/>
      <c r="R22" s="25"/>
      <c r="S22" s="25"/>
      <c r="T22" s="25"/>
      <c r="U22" s="23"/>
    </row>
    <row r="23" spans="2:24" x14ac:dyDescent="0.25">
      <c r="B23" s="41"/>
      <c r="C23" s="48">
        <f>SUM(C8:C22)^2</f>
        <v>14478025</v>
      </c>
      <c r="D23" s="48">
        <f t="shared" ref="D23:F23" si="4">SUM(D8:D22)^2</f>
        <v>15210000</v>
      </c>
      <c r="E23" s="48">
        <f t="shared" si="4"/>
        <v>18576100</v>
      </c>
      <c r="F23" s="49">
        <f t="shared" si="4"/>
        <v>17139600</v>
      </c>
      <c r="P23" s="23"/>
      <c r="Q23" s="23"/>
      <c r="R23" s="23"/>
      <c r="S23" s="23"/>
      <c r="T23" s="23"/>
      <c r="U23" s="23"/>
    </row>
    <row r="24" spans="2:24" x14ac:dyDescent="0.25">
      <c r="B24" s="43"/>
      <c r="C24" s="37">
        <f>IF(C36&gt;0,C23/C36,0)</f>
        <v>1034144.6428571428</v>
      </c>
      <c r="D24" s="37">
        <f>IF(D36&gt;0,D23/D36,0)</f>
        <v>1086428.5714285714</v>
      </c>
      <c r="E24" s="37">
        <f>IF(E36&gt;0,E23/E36,0)</f>
        <v>1238406.6666666667</v>
      </c>
      <c r="F24" s="38">
        <f>IF(F36&gt;0,F23/F36,0)</f>
        <v>1224257.142857143</v>
      </c>
      <c r="N24"/>
      <c r="O24"/>
      <c r="P24"/>
      <c r="Q24"/>
    </row>
    <row r="25" spans="2:24" s="15" customFormat="1" x14ac:dyDescent="0.25">
      <c r="B25" s="93"/>
      <c r="C25" s="94"/>
      <c r="D25" s="95"/>
      <c r="E25" s="96"/>
      <c r="F25" s="93"/>
      <c r="G25" s="97"/>
      <c r="H25" s="16"/>
      <c r="I25" s="16"/>
      <c r="J25" s="93"/>
      <c r="K25" s="98"/>
      <c r="L25" s="93"/>
      <c r="M25" s="96"/>
      <c r="Q25" s="99"/>
      <c r="R25" s="16"/>
      <c r="S25" s="16"/>
      <c r="T25" s="16"/>
      <c r="U25" s="16"/>
      <c r="V25" s="16"/>
      <c r="W25" s="17"/>
      <c r="X25" s="17"/>
    </row>
    <row r="26" spans="2:24" x14ac:dyDescent="0.25">
      <c r="D26" s="3"/>
      <c r="K26" s="2"/>
      <c r="Q26" s="18"/>
      <c r="T26"/>
    </row>
    <row r="27" spans="2:24" x14ac:dyDescent="0.25">
      <c r="B27" s="36" t="s">
        <v>0</v>
      </c>
      <c r="C27" s="8" t="s">
        <v>1</v>
      </c>
      <c r="D27" s="8" t="s">
        <v>2</v>
      </c>
      <c r="E27" s="8" t="s">
        <v>3</v>
      </c>
      <c r="F27" s="8" t="s">
        <v>4</v>
      </c>
      <c r="G27" s="41"/>
      <c r="H27" s="30"/>
      <c r="I27"/>
      <c r="J27" s="12" t="s">
        <v>1</v>
      </c>
      <c r="K27" s="8" t="s">
        <v>2</v>
      </c>
      <c r="L27" s="8" t="s">
        <v>3</v>
      </c>
      <c r="M27" s="11" t="s">
        <v>4</v>
      </c>
      <c r="N27"/>
      <c r="O27" s="12" t="s">
        <v>1</v>
      </c>
      <c r="P27" s="8" t="s">
        <v>2</v>
      </c>
      <c r="Q27" s="8" t="s">
        <v>3</v>
      </c>
      <c r="R27" s="11" t="s">
        <v>4</v>
      </c>
    </row>
    <row r="28" spans="2:24" x14ac:dyDescent="0.25">
      <c r="B28" s="71">
        <v>1</v>
      </c>
      <c r="C28" s="21">
        <f>COUNTA(C8:C9)</f>
        <v>2</v>
      </c>
      <c r="D28" s="21">
        <f t="shared" ref="D28:F28" si="5">COUNTA(D8:D9)</f>
        <v>2</v>
      </c>
      <c r="E28" s="21">
        <f t="shared" si="5"/>
        <v>2</v>
      </c>
      <c r="F28" s="21">
        <f t="shared" si="5"/>
        <v>2</v>
      </c>
      <c r="G28" s="45">
        <f>SUM(C28:F28)</f>
        <v>8</v>
      </c>
      <c r="H28" s="6">
        <f>G28^2</f>
        <v>64</v>
      </c>
      <c r="I28"/>
      <c r="J28" s="22">
        <f t="shared" ref="J28:M35" si="6">C28^2/C$36</f>
        <v>0.2857142857142857</v>
      </c>
      <c r="K28" s="18">
        <f t="shared" si="6"/>
        <v>0.2857142857142857</v>
      </c>
      <c r="L28" s="18">
        <f t="shared" si="6"/>
        <v>0.26666666666666666</v>
      </c>
      <c r="M28" s="5">
        <f t="shared" si="6"/>
        <v>0.2857142857142857</v>
      </c>
      <c r="N28"/>
      <c r="O28" s="22">
        <f>C28^2/$G28</f>
        <v>0.5</v>
      </c>
      <c r="P28" s="18">
        <f t="shared" ref="P28:P35" si="7">D28^2/$G28</f>
        <v>0.5</v>
      </c>
      <c r="Q28" s="18">
        <f t="shared" ref="Q28:Q35" si="8">E28^2/$G28</f>
        <v>0.5</v>
      </c>
      <c r="R28" s="5">
        <f t="shared" ref="R28:R35" si="9">F28^2/$G28</f>
        <v>0.5</v>
      </c>
    </row>
    <row r="29" spans="2:24" x14ac:dyDescent="0.25">
      <c r="B29" s="72">
        <v>2</v>
      </c>
      <c r="C29" s="23">
        <f>COUNTA(C10:C11)</f>
        <v>2</v>
      </c>
      <c r="D29" s="23">
        <f t="shared" ref="D29:F29" si="10">COUNTA(D10:D11)</f>
        <v>2</v>
      </c>
      <c r="E29" s="23">
        <f t="shared" si="10"/>
        <v>2</v>
      </c>
      <c r="F29" s="23">
        <f t="shared" si="10"/>
        <v>2</v>
      </c>
      <c r="G29" s="45">
        <f t="shared" ref="G29:G35" si="11">SUM(C29:F29)</f>
        <v>8</v>
      </c>
      <c r="H29" s="6">
        <f t="shared" ref="H29:H35" si="12">G29^2</f>
        <v>64</v>
      </c>
      <c r="I29"/>
      <c r="J29" s="22">
        <f t="shared" si="6"/>
        <v>0.2857142857142857</v>
      </c>
      <c r="K29" s="18">
        <f t="shared" si="6"/>
        <v>0.2857142857142857</v>
      </c>
      <c r="L29" s="18">
        <f t="shared" si="6"/>
        <v>0.26666666666666666</v>
      </c>
      <c r="M29" s="5">
        <f t="shared" si="6"/>
        <v>0.2857142857142857</v>
      </c>
      <c r="N29"/>
      <c r="O29" s="22">
        <f t="shared" ref="O29:O35" si="13">C29^2/$G29</f>
        <v>0.5</v>
      </c>
      <c r="P29" s="18">
        <f t="shared" si="7"/>
        <v>0.5</v>
      </c>
      <c r="Q29" s="18">
        <f t="shared" si="8"/>
        <v>0.5</v>
      </c>
      <c r="R29" s="5">
        <f t="shared" si="9"/>
        <v>0.5</v>
      </c>
    </row>
    <row r="30" spans="2:24" x14ac:dyDescent="0.25">
      <c r="B30" s="72">
        <v>3</v>
      </c>
      <c r="C30" s="23">
        <f>COUNTA(C12:C14)</f>
        <v>3</v>
      </c>
      <c r="D30" s="23">
        <f t="shared" ref="D30:F30" si="14">COUNTA(D12:D14)</f>
        <v>2</v>
      </c>
      <c r="E30" s="23">
        <f t="shared" si="14"/>
        <v>3</v>
      </c>
      <c r="F30" s="23">
        <f t="shared" si="14"/>
        <v>3</v>
      </c>
      <c r="G30" s="45">
        <f t="shared" si="11"/>
        <v>11</v>
      </c>
      <c r="H30" s="6">
        <f t="shared" si="12"/>
        <v>121</v>
      </c>
      <c r="I30"/>
      <c r="J30" s="22">
        <f t="shared" si="6"/>
        <v>0.6428571428571429</v>
      </c>
      <c r="K30" s="18">
        <f t="shared" si="6"/>
        <v>0.2857142857142857</v>
      </c>
      <c r="L30" s="18">
        <f t="shared" si="6"/>
        <v>0.6</v>
      </c>
      <c r="M30" s="5">
        <f t="shared" si="6"/>
        <v>0.6428571428571429</v>
      </c>
      <c r="N30"/>
      <c r="O30" s="22">
        <f t="shared" si="13"/>
        <v>0.81818181818181823</v>
      </c>
      <c r="P30" s="18">
        <f t="shared" si="7"/>
        <v>0.36363636363636365</v>
      </c>
      <c r="Q30" s="18">
        <f t="shared" si="8"/>
        <v>0.81818181818181823</v>
      </c>
      <c r="R30" s="5">
        <f t="shared" si="9"/>
        <v>0.81818181818181823</v>
      </c>
    </row>
    <row r="31" spans="2:24" x14ac:dyDescent="0.25">
      <c r="B31" s="72">
        <v>4</v>
      </c>
      <c r="C31" s="23">
        <f>COUNTA(C15)</f>
        <v>1</v>
      </c>
      <c r="D31" s="23">
        <f t="shared" ref="D31:F31" si="15">COUNTA(D15)</f>
        <v>1</v>
      </c>
      <c r="E31" s="23">
        <f t="shared" si="15"/>
        <v>1</v>
      </c>
      <c r="F31" s="23">
        <f t="shared" si="15"/>
        <v>0</v>
      </c>
      <c r="G31" s="45">
        <f t="shared" si="11"/>
        <v>3</v>
      </c>
      <c r="H31" s="6">
        <f t="shared" si="12"/>
        <v>9</v>
      </c>
      <c r="I31"/>
      <c r="J31" s="22">
        <f t="shared" si="6"/>
        <v>7.1428571428571425E-2</v>
      </c>
      <c r="K31" s="18">
        <f t="shared" si="6"/>
        <v>7.1428571428571425E-2</v>
      </c>
      <c r="L31" s="18">
        <f t="shared" si="6"/>
        <v>6.6666666666666666E-2</v>
      </c>
      <c r="M31" s="5">
        <f t="shared" si="6"/>
        <v>0</v>
      </c>
      <c r="N31"/>
      <c r="O31" s="22">
        <f t="shared" si="13"/>
        <v>0.33333333333333331</v>
      </c>
      <c r="P31" s="18">
        <f t="shared" si="7"/>
        <v>0.33333333333333331</v>
      </c>
      <c r="Q31" s="18">
        <f t="shared" si="8"/>
        <v>0.33333333333333331</v>
      </c>
      <c r="R31" s="5">
        <f t="shared" si="9"/>
        <v>0</v>
      </c>
    </row>
    <row r="32" spans="2:24" x14ac:dyDescent="0.25">
      <c r="B32" s="72">
        <v>5</v>
      </c>
      <c r="C32" s="23">
        <f>COUNTA(C16:C17)</f>
        <v>2</v>
      </c>
      <c r="D32" s="23">
        <f t="shared" ref="D32:F32" si="16">COUNTA(D16:D17)</f>
        <v>2</v>
      </c>
      <c r="E32" s="23">
        <f t="shared" si="16"/>
        <v>2</v>
      </c>
      <c r="F32" s="23">
        <f t="shared" si="16"/>
        <v>2</v>
      </c>
      <c r="G32" s="45">
        <f t="shared" si="11"/>
        <v>8</v>
      </c>
      <c r="H32" s="6">
        <f t="shared" si="12"/>
        <v>64</v>
      </c>
      <c r="I32"/>
      <c r="J32" s="22">
        <f t="shared" si="6"/>
        <v>0.2857142857142857</v>
      </c>
      <c r="K32" s="18">
        <f t="shared" si="6"/>
        <v>0.2857142857142857</v>
      </c>
      <c r="L32" s="18">
        <f t="shared" si="6"/>
        <v>0.26666666666666666</v>
      </c>
      <c r="M32" s="5">
        <f t="shared" si="6"/>
        <v>0.2857142857142857</v>
      </c>
      <c r="N32"/>
      <c r="O32" s="22">
        <f t="shared" si="13"/>
        <v>0.5</v>
      </c>
      <c r="P32" s="18">
        <f t="shared" si="7"/>
        <v>0.5</v>
      </c>
      <c r="Q32" s="18">
        <f t="shared" si="8"/>
        <v>0.5</v>
      </c>
      <c r="R32" s="5">
        <f t="shared" si="9"/>
        <v>0.5</v>
      </c>
    </row>
    <row r="33" spans="2:24" x14ac:dyDescent="0.25">
      <c r="B33" s="72">
        <v>6</v>
      </c>
      <c r="C33" s="23">
        <f>COUNTA(C18:C19)</f>
        <v>2</v>
      </c>
      <c r="D33" s="23">
        <f t="shared" ref="D33:F33" si="17">COUNTA(D18:D19)</f>
        <v>2</v>
      </c>
      <c r="E33" s="23">
        <f t="shared" si="17"/>
        <v>2</v>
      </c>
      <c r="F33" s="23">
        <f t="shared" si="17"/>
        <v>2</v>
      </c>
      <c r="G33" s="45">
        <f t="shared" si="11"/>
        <v>8</v>
      </c>
      <c r="H33" s="6">
        <f t="shared" si="12"/>
        <v>64</v>
      </c>
      <c r="I33"/>
      <c r="J33" s="22">
        <f t="shared" si="6"/>
        <v>0.2857142857142857</v>
      </c>
      <c r="K33" s="18">
        <f t="shared" si="6"/>
        <v>0.2857142857142857</v>
      </c>
      <c r="L33" s="18">
        <f t="shared" si="6"/>
        <v>0.26666666666666666</v>
      </c>
      <c r="M33" s="5">
        <f t="shared" si="6"/>
        <v>0.2857142857142857</v>
      </c>
      <c r="N33"/>
      <c r="O33" s="22">
        <f t="shared" si="13"/>
        <v>0.5</v>
      </c>
      <c r="P33" s="18">
        <f t="shared" si="7"/>
        <v>0.5</v>
      </c>
      <c r="Q33" s="18">
        <f t="shared" si="8"/>
        <v>0.5</v>
      </c>
      <c r="R33" s="5">
        <f t="shared" si="9"/>
        <v>0.5</v>
      </c>
    </row>
    <row r="34" spans="2:24" x14ac:dyDescent="0.25">
      <c r="B34" s="72">
        <v>7</v>
      </c>
      <c r="C34" s="23">
        <f>COUNTA(C20:C21)</f>
        <v>1</v>
      </c>
      <c r="D34" s="23">
        <f t="shared" ref="D34:F34" si="18">COUNTA(D20:D21)</f>
        <v>2</v>
      </c>
      <c r="E34" s="23">
        <f t="shared" si="18"/>
        <v>2</v>
      </c>
      <c r="F34" s="23">
        <f t="shared" si="18"/>
        <v>2</v>
      </c>
      <c r="G34" s="45">
        <f t="shared" si="11"/>
        <v>7</v>
      </c>
      <c r="H34" s="6">
        <f t="shared" si="12"/>
        <v>49</v>
      </c>
      <c r="I34"/>
      <c r="J34" s="22">
        <f t="shared" si="6"/>
        <v>7.1428571428571425E-2</v>
      </c>
      <c r="K34" s="18">
        <f t="shared" si="6"/>
        <v>0.2857142857142857</v>
      </c>
      <c r="L34" s="18">
        <f t="shared" si="6"/>
        <v>0.26666666666666666</v>
      </c>
      <c r="M34" s="5">
        <f t="shared" si="6"/>
        <v>0.2857142857142857</v>
      </c>
      <c r="N34"/>
      <c r="O34" s="22">
        <f t="shared" si="13"/>
        <v>0.14285714285714285</v>
      </c>
      <c r="P34" s="18">
        <f t="shared" si="7"/>
        <v>0.5714285714285714</v>
      </c>
      <c r="Q34" s="18">
        <f t="shared" si="8"/>
        <v>0.5714285714285714</v>
      </c>
      <c r="R34" s="5">
        <f t="shared" si="9"/>
        <v>0.5714285714285714</v>
      </c>
    </row>
    <row r="35" spans="2:24" x14ac:dyDescent="0.25">
      <c r="B35" s="72">
        <v>8</v>
      </c>
      <c r="C35" s="23">
        <f>COUNTA(C22)</f>
        <v>1</v>
      </c>
      <c r="D35" s="23">
        <f t="shared" ref="D35:F35" si="19">COUNTA(D22)</f>
        <v>1</v>
      </c>
      <c r="E35" s="23">
        <f t="shared" si="19"/>
        <v>1</v>
      </c>
      <c r="F35" s="23">
        <f t="shared" si="19"/>
        <v>1</v>
      </c>
      <c r="G35" s="83">
        <f t="shared" si="11"/>
        <v>4</v>
      </c>
      <c r="H35" s="84">
        <f t="shared" si="12"/>
        <v>16</v>
      </c>
      <c r="I35"/>
      <c r="J35" s="24">
        <f t="shared" si="6"/>
        <v>7.1428571428571425E-2</v>
      </c>
      <c r="K35" s="2">
        <f t="shared" si="6"/>
        <v>7.1428571428571425E-2</v>
      </c>
      <c r="L35" s="2">
        <f t="shared" si="6"/>
        <v>6.6666666666666666E-2</v>
      </c>
      <c r="M35" s="31">
        <f t="shared" si="6"/>
        <v>7.1428571428571425E-2</v>
      </c>
      <c r="N35"/>
      <c r="O35" s="24">
        <f t="shared" si="13"/>
        <v>0.25</v>
      </c>
      <c r="P35" s="2">
        <f t="shared" si="7"/>
        <v>0.25</v>
      </c>
      <c r="Q35" s="2">
        <f t="shared" si="8"/>
        <v>0.25</v>
      </c>
      <c r="R35" s="31">
        <f t="shared" si="9"/>
        <v>0.25</v>
      </c>
    </row>
    <row r="36" spans="2:24" ht="21" customHeight="1" x14ac:dyDescent="0.25">
      <c r="B36" s="41"/>
      <c r="C36" s="9">
        <f>SUM(C28:C35)</f>
        <v>14</v>
      </c>
      <c r="D36" s="9">
        <f t="shared" ref="D36:F36" si="20">SUM(D28:D35)</f>
        <v>14</v>
      </c>
      <c r="E36" s="9">
        <f t="shared" si="20"/>
        <v>15</v>
      </c>
      <c r="F36" s="9">
        <f t="shared" si="20"/>
        <v>14</v>
      </c>
      <c r="G36" s="85">
        <f>SUM(C36:F36)</f>
        <v>57</v>
      </c>
      <c r="H36" s="86">
        <f>SUM(H28:H35)</f>
        <v>451</v>
      </c>
      <c r="I36"/>
      <c r="J36"/>
      <c r="K36"/>
      <c r="L36"/>
      <c r="M36"/>
      <c r="N36"/>
      <c r="O36"/>
      <c r="P36"/>
      <c r="Q36"/>
      <c r="R36"/>
    </row>
    <row r="37" spans="2:24" ht="21.75" customHeight="1" x14ac:dyDescent="0.25">
      <c r="B37" s="41"/>
      <c r="C37" s="134">
        <f>C36^2</f>
        <v>196</v>
      </c>
      <c r="D37" s="134">
        <f>D36^2</f>
        <v>196</v>
      </c>
      <c r="E37" s="134">
        <f t="shared" ref="E37:F37" si="21">E36^2</f>
        <v>225</v>
      </c>
      <c r="F37" s="134">
        <f t="shared" si="21"/>
        <v>196</v>
      </c>
      <c r="G37" s="46">
        <f>SUM(C37:F37)</f>
        <v>813</v>
      </c>
      <c r="H37" s="47"/>
      <c r="I37"/>
      <c r="J37"/>
      <c r="K37" s="17"/>
      <c r="L37" s="32"/>
      <c r="M37" s="15"/>
      <c r="N37" s="15"/>
      <c r="O37" s="15"/>
      <c r="P37" s="17"/>
      <c r="Q37" s="33"/>
      <c r="R37"/>
    </row>
    <row r="38" spans="2:24" x14ac:dyDescent="0.25">
      <c r="M38"/>
    </row>
    <row r="39" spans="2:24" ht="22.5" customHeight="1" x14ac:dyDescent="0.25">
      <c r="C39" s="329"/>
      <c r="D39" s="329"/>
      <c r="E39" s="329"/>
      <c r="F39" s="329"/>
      <c r="G39" s="2"/>
      <c r="H39" s="63"/>
      <c r="J39"/>
      <c r="L39"/>
    </row>
    <row r="40" spans="2:24" s="55" customFormat="1" ht="22.5" customHeight="1" x14ac:dyDescent="0.25">
      <c r="B40" s="87" t="s">
        <v>0</v>
      </c>
      <c r="C40" s="57" t="s">
        <v>1</v>
      </c>
      <c r="D40" s="57" t="s">
        <v>2</v>
      </c>
      <c r="E40" s="57" t="s">
        <v>3</v>
      </c>
      <c r="F40" s="88" t="s">
        <v>4</v>
      </c>
      <c r="G40" s="89"/>
      <c r="H40" s="90"/>
      <c r="I40" s="56"/>
      <c r="J40" s="87" t="s">
        <v>0</v>
      </c>
      <c r="K40" s="57" t="s">
        <v>1</v>
      </c>
      <c r="L40" s="57" t="s">
        <v>2</v>
      </c>
      <c r="M40" s="57" t="s">
        <v>3</v>
      </c>
      <c r="N40" s="88" t="s">
        <v>4</v>
      </c>
      <c r="O40" s="56"/>
      <c r="P40" s="56"/>
      <c r="Q40" s="56"/>
      <c r="R40" s="56"/>
      <c r="S40" s="56"/>
      <c r="T40" s="56"/>
      <c r="U40" s="56"/>
      <c r="V40" s="56"/>
      <c r="W40" s="91"/>
      <c r="X40" s="91"/>
    </row>
    <row r="41" spans="2:24" x14ac:dyDescent="0.25">
      <c r="B41" s="71">
        <v>1</v>
      </c>
      <c r="C41" s="21">
        <f>SUM(C8:C9)</f>
        <v>410</v>
      </c>
      <c r="D41" s="21">
        <f>SUM(D8:D9)</f>
        <v>420</v>
      </c>
      <c r="E41" s="21">
        <f>SUM(E8:E9)</f>
        <v>440</v>
      </c>
      <c r="F41" s="76">
        <f>SUM(F8:F9)</f>
        <v>430</v>
      </c>
      <c r="G41" s="20">
        <f>SUM(C41:F41)</f>
        <v>1700</v>
      </c>
      <c r="H41" s="80">
        <f t="shared" ref="H41:H48" si="22">G41^2/G28</f>
        <v>361250</v>
      </c>
      <c r="J41" s="71">
        <v>1</v>
      </c>
      <c r="K41" s="25">
        <f t="shared" ref="K41:N48" si="23">IF(C28&gt;0,C41^2/C28,"")</f>
        <v>84050</v>
      </c>
      <c r="L41" s="25">
        <f t="shared" si="23"/>
        <v>88200</v>
      </c>
      <c r="M41" s="25">
        <f t="shared" si="23"/>
        <v>96800</v>
      </c>
      <c r="N41" s="79">
        <f t="shared" si="23"/>
        <v>92450</v>
      </c>
    </row>
    <row r="42" spans="2:24" x14ac:dyDescent="0.25">
      <c r="B42" s="72">
        <v>2</v>
      </c>
      <c r="C42" s="23">
        <f>SUM(C10:C11)</f>
        <v>470</v>
      </c>
      <c r="D42" s="23">
        <f>SUM(D10:D11)</f>
        <v>560</v>
      </c>
      <c r="E42" s="23">
        <f>SUM(E10:E11)</f>
        <v>520</v>
      </c>
      <c r="F42" s="7">
        <f>SUM(F10:F11)</f>
        <v>545</v>
      </c>
      <c r="G42" s="20">
        <f t="shared" ref="G42:G48" si="24">SUM(C42:F42)</f>
        <v>2095</v>
      </c>
      <c r="H42" s="80">
        <f t="shared" si="22"/>
        <v>548628.125</v>
      </c>
      <c r="J42" s="72">
        <v>2</v>
      </c>
      <c r="K42" s="25">
        <f t="shared" si="23"/>
        <v>110450</v>
      </c>
      <c r="L42" s="25">
        <f t="shared" si="23"/>
        <v>156800</v>
      </c>
      <c r="M42" s="25">
        <f t="shared" si="23"/>
        <v>135200</v>
      </c>
      <c r="N42" s="26">
        <f t="shared" si="23"/>
        <v>148512.5</v>
      </c>
    </row>
    <row r="43" spans="2:24" x14ac:dyDescent="0.25">
      <c r="B43" s="72">
        <v>3</v>
      </c>
      <c r="C43" s="23">
        <f>SUM(C12:C14)</f>
        <v>810</v>
      </c>
      <c r="D43" s="23">
        <f>SUM(D12:D14)</f>
        <v>545</v>
      </c>
      <c r="E43" s="23">
        <f>SUM(E12:E14)</f>
        <v>830</v>
      </c>
      <c r="F43" s="7">
        <f>SUM(F12:F14)</f>
        <v>845</v>
      </c>
      <c r="G43" s="20">
        <f t="shared" si="24"/>
        <v>3030</v>
      </c>
      <c r="H43" s="80">
        <f t="shared" si="22"/>
        <v>834627.27272727271</v>
      </c>
      <c r="J43" s="72">
        <v>3</v>
      </c>
      <c r="K43" s="25">
        <f t="shared" si="23"/>
        <v>218700</v>
      </c>
      <c r="L43" s="25">
        <f t="shared" si="23"/>
        <v>148512.5</v>
      </c>
      <c r="M43" s="25">
        <f t="shared" si="23"/>
        <v>229633.33333333334</v>
      </c>
      <c r="N43" s="26">
        <f t="shared" si="23"/>
        <v>238008.33333333334</v>
      </c>
    </row>
    <row r="44" spans="2:24" x14ac:dyDescent="0.25">
      <c r="B44" s="72">
        <v>4</v>
      </c>
      <c r="C44" s="23">
        <f>SUM(C15)</f>
        <v>275</v>
      </c>
      <c r="D44" s="23">
        <f t="shared" ref="D44:F44" si="25">SUM(D15)</f>
        <v>275</v>
      </c>
      <c r="E44" s="23">
        <f t="shared" si="25"/>
        <v>275</v>
      </c>
      <c r="F44" s="7">
        <f t="shared" si="25"/>
        <v>0</v>
      </c>
      <c r="G44" s="20">
        <f t="shared" si="24"/>
        <v>825</v>
      </c>
      <c r="H44" s="80">
        <f t="shared" si="22"/>
        <v>226875</v>
      </c>
      <c r="J44" s="72">
        <v>4</v>
      </c>
      <c r="K44" s="25">
        <f t="shared" si="23"/>
        <v>75625</v>
      </c>
      <c r="L44" s="25">
        <f t="shared" si="23"/>
        <v>75625</v>
      </c>
      <c r="M44" s="25">
        <f t="shared" si="23"/>
        <v>75625</v>
      </c>
      <c r="N44" s="26" t="str">
        <f t="shared" si="23"/>
        <v/>
      </c>
    </row>
    <row r="45" spans="2:24" x14ac:dyDescent="0.25">
      <c r="B45" s="72">
        <v>5</v>
      </c>
      <c r="C45" s="23">
        <f>SUM(C16:C17)</f>
        <v>600</v>
      </c>
      <c r="D45" s="23">
        <f>SUM(D16:D17)</f>
        <v>580</v>
      </c>
      <c r="E45" s="23">
        <f>SUM(E16:E17)</f>
        <v>600</v>
      </c>
      <c r="F45" s="7">
        <f>SUM(F16:F17)</f>
        <v>580</v>
      </c>
      <c r="G45" s="20">
        <f t="shared" si="24"/>
        <v>2360</v>
      </c>
      <c r="H45" s="80">
        <f t="shared" si="22"/>
        <v>696200</v>
      </c>
      <c r="J45" s="72">
        <v>5</v>
      </c>
      <c r="K45" s="25">
        <f t="shared" si="23"/>
        <v>180000</v>
      </c>
      <c r="L45" s="25">
        <f t="shared" si="23"/>
        <v>168200</v>
      </c>
      <c r="M45" s="25">
        <f t="shared" si="23"/>
        <v>180000</v>
      </c>
      <c r="N45" s="26">
        <f t="shared" si="23"/>
        <v>168200</v>
      </c>
    </row>
    <row r="46" spans="2:24" x14ac:dyDescent="0.25">
      <c r="B46" s="72">
        <v>6</v>
      </c>
      <c r="C46" s="23">
        <f>SUM(C18:C19)</f>
        <v>570</v>
      </c>
      <c r="D46" s="23">
        <f>SUM(D18:D19)</f>
        <v>550</v>
      </c>
      <c r="E46" s="23">
        <f>SUM(E18:E19)</f>
        <v>640</v>
      </c>
      <c r="F46" s="7">
        <f>SUM(F18:F19)</f>
        <v>670</v>
      </c>
      <c r="G46" s="20">
        <f t="shared" si="24"/>
        <v>2430</v>
      </c>
      <c r="H46" s="80">
        <f t="shared" si="22"/>
        <v>738112.5</v>
      </c>
      <c r="J46" s="72">
        <v>6</v>
      </c>
      <c r="K46" s="25">
        <f t="shared" si="23"/>
        <v>162450</v>
      </c>
      <c r="L46" s="25">
        <f t="shared" si="23"/>
        <v>151250</v>
      </c>
      <c r="M46" s="25">
        <f t="shared" si="23"/>
        <v>204800</v>
      </c>
      <c r="N46" s="26">
        <f t="shared" si="23"/>
        <v>224450</v>
      </c>
    </row>
    <row r="47" spans="2:24" x14ac:dyDescent="0.25">
      <c r="B47" s="72">
        <v>7</v>
      </c>
      <c r="C47" s="23">
        <f>SUM(C20:C21)</f>
        <v>320</v>
      </c>
      <c r="D47" s="23">
        <f>SUM(D20:D21)</f>
        <v>650</v>
      </c>
      <c r="E47" s="23">
        <f>SUM(E20:E21)</f>
        <v>665</v>
      </c>
      <c r="F47" s="7">
        <f>SUM(F20:F21)</f>
        <v>705</v>
      </c>
      <c r="G47" s="20">
        <f t="shared" si="24"/>
        <v>2340</v>
      </c>
      <c r="H47" s="80">
        <f t="shared" si="22"/>
        <v>782228.57142857148</v>
      </c>
      <c r="J47" s="72">
        <v>7</v>
      </c>
      <c r="K47" s="25">
        <f t="shared" si="23"/>
        <v>102400</v>
      </c>
      <c r="L47" s="25">
        <f t="shared" si="23"/>
        <v>211250</v>
      </c>
      <c r="M47" s="25">
        <f t="shared" si="23"/>
        <v>221112.5</v>
      </c>
      <c r="N47" s="26">
        <f t="shared" si="23"/>
        <v>248512.5</v>
      </c>
    </row>
    <row r="48" spans="2:24" x14ac:dyDescent="0.25">
      <c r="B48" s="75">
        <v>8</v>
      </c>
      <c r="C48" s="63">
        <f>SUM(C22)</f>
        <v>350</v>
      </c>
      <c r="D48" s="63">
        <f>SUM(D22)</f>
        <v>320</v>
      </c>
      <c r="E48" s="63">
        <f>SUM(E22)</f>
        <v>340</v>
      </c>
      <c r="F48" s="10">
        <f>SUM(F22)</f>
        <v>365</v>
      </c>
      <c r="G48" s="40">
        <f t="shared" si="24"/>
        <v>1375</v>
      </c>
      <c r="H48" s="37">
        <f t="shared" si="22"/>
        <v>472656.25</v>
      </c>
      <c r="J48" s="75">
        <v>8</v>
      </c>
      <c r="K48" s="27">
        <f t="shared" si="23"/>
        <v>122500</v>
      </c>
      <c r="L48" s="27">
        <f t="shared" si="23"/>
        <v>102400</v>
      </c>
      <c r="M48" s="27">
        <f t="shared" si="23"/>
        <v>115600</v>
      </c>
      <c r="N48" s="28">
        <f t="shared" si="23"/>
        <v>133225</v>
      </c>
    </row>
    <row r="49" spans="2:8" ht="21" customHeight="1" x14ac:dyDescent="0.25">
      <c r="B49" s="81"/>
      <c r="C49" s="20">
        <f>SUM(C41:C48)</f>
        <v>3805</v>
      </c>
      <c r="D49" s="20">
        <f t="shared" ref="D49:F49" si="26">SUM(D41:D48)</f>
        <v>3900</v>
      </c>
      <c r="E49" s="20">
        <f t="shared" si="26"/>
        <v>4310</v>
      </c>
      <c r="F49" s="79">
        <f t="shared" si="26"/>
        <v>4140</v>
      </c>
      <c r="G49" s="20">
        <f>SUM(G41:G48)</f>
        <v>16155</v>
      </c>
      <c r="H49" s="80">
        <f>SUM(H41:H48)</f>
        <v>4660577.7191558443</v>
      </c>
    </row>
    <row r="50" spans="2:8" ht="21" customHeight="1" x14ac:dyDescent="0.25">
      <c r="B50" s="5"/>
      <c r="C50" s="80">
        <f>C49^2/C36</f>
        <v>1034144.6428571428</v>
      </c>
      <c r="D50" s="80">
        <f>D49^2/D36</f>
        <v>1086428.5714285714</v>
      </c>
      <c r="E50" s="80">
        <f>E49^2/E36</f>
        <v>1238406.6666666667</v>
      </c>
      <c r="F50" s="82">
        <f>F49^2/F36</f>
        <v>1224257.142857143</v>
      </c>
      <c r="G50" s="80">
        <f>SUM(C50:F50)</f>
        <v>4583237.0238095233</v>
      </c>
    </row>
  </sheetData>
  <mergeCells count="4">
    <mergeCell ref="C6:F6"/>
    <mergeCell ref="K2:L2"/>
    <mergeCell ref="K3:L3"/>
    <mergeCell ref="C39:F39"/>
  </mergeCells>
  <pageMargins left="0.7" right="0.7" top="0.75" bottom="0.75" header="0.3" footer="0.3"/>
  <pageSetup orientation="portrait" horizontalDpi="1200" verticalDpi="1200" r:id="rId1"/>
  <ignoredErrors>
    <ignoredError sqref="G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47"/>
  <sheetViews>
    <sheetView workbookViewId="0">
      <selection activeCell="G16" sqref="G16"/>
    </sheetView>
  </sheetViews>
  <sheetFormatPr defaultRowHeight="15" x14ac:dyDescent="0.25"/>
  <cols>
    <col min="1" max="1" width="7.28515625" customWidth="1"/>
    <col min="2" max="2" width="10.42578125" customWidth="1"/>
    <col min="3" max="3" width="11.5703125" style="1" customWidth="1"/>
    <col min="4" max="4" width="13.140625" style="1" customWidth="1"/>
    <col min="5" max="5" width="12.85546875" style="1" customWidth="1"/>
    <col min="6" max="6" width="11.5703125" style="1" customWidth="1"/>
    <col min="7" max="7" width="11.7109375" style="1" customWidth="1"/>
    <col min="8" max="8" width="15.42578125" style="1" customWidth="1"/>
    <col min="9" max="9" width="8.5703125" style="1" customWidth="1"/>
    <col min="10" max="10" width="7.42578125" style="1" customWidth="1"/>
    <col min="11" max="11" width="8.5703125" style="1" customWidth="1"/>
    <col min="12" max="13" width="9.85546875" style="1" customWidth="1"/>
    <col min="14" max="14" width="12.5703125" style="1" customWidth="1"/>
    <col min="15" max="15" width="7.42578125" style="1" customWidth="1"/>
    <col min="16" max="16" width="7.5703125" style="1" customWidth="1"/>
    <col min="17" max="17" width="10.42578125" style="1" customWidth="1"/>
    <col min="18" max="18" width="7.7109375" style="1" customWidth="1"/>
    <col min="19" max="20" width="7.5703125" style="1" customWidth="1"/>
    <col min="21" max="21" width="7.42578125" style="1" customWidth="1"/>
    <col min="22" max="22" width="7" style="1" customWidth="1"/>
    <col min="23" max="23" width="10.28515625" style="132" customWidth="1"/>
    <col min="24" max="24" width="7" style="132" customWidth="1"/>
    <col min="25" max="25" width="8.140625" customWidth="1"/>
    <col min="33" max="33" width="6" customWidth="1"/>
  </cols>
  <sheetData>
    <row r="1" spans="2:26" x14ac:dyDescent="0.25">
      <c r="B1" s="159" t="s">
        <v>15</v>
      </c>
      <c r="C1" s="160">
        <f>'Example 5.1'!C1</f>
        <v>0.74967553709128942</v>
      </c>
      <c r="D1" s="163" t="s">
        <v>16</v>
      </c>
      <c r="E1" s="173">
        <f>(K1*(N15-G1*Q15))/(K1*N15+G1*(M1*N16+(M1*K1-M1-K1)*Q15+(M2-M1*K1)*W22))</f>
        <v>0.54437119560103686</v>
      </c>
      <c r="F1" s="153" t="s">
        <v>21</v>
      </c>
      <c r="G1" s="172">
        <f>_xlfn.F.INV(1-(1-G3)/2,K1-1,K3)</f>
        <v>2.6878273927132521</v>
      </c>
      <c r="H1"/>
      <c r="I1" s="1">
        <f>M1*C1/(K1*(1-C1))</f>
        <v>1.4974076612014631</v>
      </c>
      <c r="J1"/>
      <c r="K1" s="33">
        <f>COUNT(B25:B32)</f>
        <v>8</v>
      </c>
      <c r="L1"/>
      <c r="M1" s="131">
        <f>COUNTA(C6:F6)</f>
        <v>4</v>
      </c>
    </row>
    <row r="2" spans="2:26" x14ac:dyDescent="0.25">
      <c r="B2" s="161"/>
      <c r="C2" s="162"/>
      <c r="D2" s="163" t="s">
        <v>24</v>
      </c>
      <c r="E2" s="164">
        <f>(K1*(G2*N15-Q15))/(K1*G2*N15+M1*N16+(M1*K1-M1-K1)*Q15+(M2-M1*K1)*W22)</f>
        <v>0.9372490689289793</v>
      </c>
      <c r="F2" s="153" t="s">
        <v>22</v>
      </c>
      <c r="G2" s="154">
        <f>_xlfn.F.INV(1-(1-G3)/2,K3,K1-1)</f>
        <v>4.3373249897028536</v>
      </c>
      <c r="H2"/>
      <c r="I2" s="1">
        <f>1+M1*(K1-1)*C1/(K1*(1-C1))</f>
        <v>11.481853628410242</v>
      </c>
      <c r="J2"/>
      <c r="K2" s="130">
        <f>AVERAGE(C7:F21)</f>
        <v>283.42105263157896</v>
      </c>
      <c r="L2" s="80" t="s">
        <v>19</v>
      </c>
      <c r="M2" s="131">
        <f>G33</f>
        <v>57</v>
      </c>
      <c r="N2" s="20"/>
      <c r="Q2" s="16"/>
    </row>
    <row r="3" spans="2:26" x14ac:dyDescent="0.25">
      <c r="F3" s="132" t="s">
        <v>23</v>
      </c>
      <c r="G3" s="1">
        <v>0.95</v>
      </c>
      <c r="H3"/>
      <c r="I3" s="1">
        <f>(M2/K1-M1)*C1/(1-C1)</f>
        <v>9.358797882509144</v>
      </c>
      <c r="J3"/>
      <c r="K3" s="1">
        <f>(I1*N16+I2*Q15+I3*W22)^2/((I1*N16)^2/(M1-1)+(I2*Q15)^2/((M1-1)*(K1-1))+(I3*W22)^2/(M2-M1*K1))</f>
        <v>34.232877582768772</v>
      </c>
    </row>
    <row r="4" spans="2:26" x14ac:dyDescent="0.25">
      <c r="N4" s="143"/>
      <c r="O4" s="128"/>
      <c r="P4" s="95"/>
      <c r="Q4" s="142"/>
    </row>
    <row r="5" spans="2:26" ht="18" customHeight="1" x14ac:dyDescent="0.25">
      <c r="C5" s="329"/>
      <c r="D5" s="329"/>
      <c r="E5" s="329"/>
      <c r="F5" s="329"/>
      <c r="N5" s="99"/>
      <c r="O5" s="99"/>
      <c r="P5" s="95"/>
      <c r="Q5" s="142"/>
      <c r="X5"/>
    </row>
    <row r="6" spans="2:26" ht="21" customHeight="1" x14ac:dyDescent="0.25">
      <c r="B6" s="41" t="s">
        <v>0</v>
      </c>
      <c r="C6" s="8" t="s">
        <v>1</v>
      </c>
      <c r="D6" s="8" t="s">
        <v>2</v>
      </c>
      <c r="E6" s="8" t="s">
        <v>3</v>
      </c>
      <c r="F6" s="11" t="s">
        <v>4</v>
      </c>
      <c r="G6" s="110"/>
      <c r="H6" s="87" t="s">
        <v>0</v>
      </c>
      <c r="I6" s="57" t="s">
        <v>1</v>
      </c>
      <c r="J6" s="57" t="s">
        <v>2</v>
      </c>
      <c r="K6" s="57" t="s">
        <v>3</v>
      </c>
      <c r="L6" s="88" t="s">
        <v>4</v>
      </c>
      <c r="M6" s="29"/>
      <c r="N6" s="133"/>
      <c r="O6" s="99"/>
      <c r="P6" s="87" t="s">
        <v>0</v>
      </c>
      <c r="Q6" s="57" t="s">
        <v>1</v>
      </c>
      <c r="R6" s="57" t="s">
        <v>2</v>
      </c>
      <c r="S6" s="57" t="s">
        <v>3</v>
      </c>
      <c r="T6" s="88" t="s">
        <v>4</v>
      </c>
      <c r="U6" s="56"/>
      <c r="V6" s="41" t="s">
        <v>0</v>
      </c>
      <c r="W6" s="8" t="s">
        <v>1</v>
      </c>
      <c r="X6" s="8" t="s">
        <v>2</v>
      </c>
      <c r="Y6" s="8" t="s">
        <v>3</v>
      </c>
      <c r="Z6" s="11" t="s">
        <v>4</v>
      </c>
    </row>
    <row r="7" spans="2:26" x14ac:dyDescent="0.25">
      <c r="B7" s="42">
        <v>1</v>
      </c>
      <c r="C7" s="23">
        <v>190</v>
      </c>
      <c r="D7" s="23">
        <v>220</v>
      </c>
      <c r="E7" s="23">
        <v>200</v>
      </c>
      <c r="F7" s="7">
        <v>200</v>
      </c>
      <c r="G7" s="111"/>
      <c r="H7" s="71">
        <v>1</v>
      </c>
      <c r="I7" s="21">
        <f>AVERAGE(C7:C8)</f>
        <v>205</v>
      </c>
      <c r="J7" s="21">
        <f>AVERAGE(D7:D8)</f>
        <v>210</v>
      </c>
      <c r="K7" s="21">
        <f>AVERAGE(E7:E8)</f>
        <v>220</v>
      </c>
      <c r="L7" s="76">
        <f>AVERAGE(F7:F8)</f>
        <v>215</v>
      </c>
      <c r="M7" s="20">
        <f>AVERAGE(C7:F8)</f>
        <v>212.5</v>
      </c>
      <c r="N7" s="138">
        <f t="shared" ref="N7:N14" si="0">G25*(M7-$K$2)^2</f>
        <v>40238.365650969543</v>
      </c>
      <c r="O7" s="144"/>
      <c r="P7" s="71">
        <v>1</v>
      </c>
      <c r="Q7" s="25">
        <f t="shared" ref="Q7:T14" si="1">C25*(I7-$M7-I$15+$K$2)^2</f>
        <v>34.202046469557686</v>
      </c>
      <c r="R7" s="25">
        <f t="shared" si="1"/>
        <v>11.04146644807534</v>
      </c>
      <c r="S7" s="25">
        <f t="shared" si="1"/>
        <v>25.743459526008447</v>
      </c>
      <c r="T7" s="79">
        <f t="shared" si="1"/>
        <v>191.81482842444441</v>
      </c>
      <c r="V7" s="42">
        <v>1</v>
      </c>
      <c r="W7" s="138">
        <f>(C7-I$7)^2</f>
        <v>225</v>
      </c>
      <c r="X7" s="23">
        <f>(D7-J$7)^2</f>
        <v>100</v>
      </c>
      <c r="Y7" s="23">
        <f t="shared" ref="Y7:Z8" si="2">(E7-K$7)^2</f>
        <v>400</v>
      </c>
      <c r="Z7" s="7">
        <f t="shared" si="2"/>
        <v>225</v>
      </c>
    </row>
    <row r="8" spans="2:26" x14ac:dyDescent="0.25">
      <c r="B8" s="42">
        <v>1</v>
      </c>
      <c r="C8" s="23">
        <v>220</v>
      </c>
      <c r="D8" s="23">
        <v>200</v>
      </c>
      <c r="E8" s="23">
        <v>240</v>
      </c>
      <c r="F8" s="7">
        <v>230</v>
      </c>
      <c r="G8" s="111"/>
      <c r="H8" s="72">
        <v>2</v>
      </c>
      <c r="I8" s="23">
        <f>AVERAGE(C9:C10)</f>
        <v>235</v>
      </c>
      <c r="J8" s="23">
        <f>AVERAGE(D9:D10)</f>
        <v>280</v>
      </c>
      <c r="K8" s="23">
        <f>AVERAGE(E9:E10)</f>
        <v>260</v>
      </c>
      <c r="L8" s="7">
        <f>AVERAGE(F9:F10)</f>
        <v>272.5</v>
      </c>
      <c r="M8" s="20">
        <f>AVERAGE(C9:F10)</f>
        <v>261.875</v>
      </c>
      <c r="N8" s="138">
        <f t="shared" si="0"/>
        <v>3713.8590720221646</v>
      </c>
      <c r="O8" s="144"/>
      <c r="P8" s="72">
        <v>2</v>
      </c>
      <c r="Q8" s="25">
        <f t="shared" si="1"/>
        <v>464.49457466504487</v>
      </c>
      <c r="R8" s="25">
        <f t="shared" si="1"/>
        <v>1055.6667014104837</v>
      </c>
      <c r="S8" s="25">
        <f t="shared" si="1"/>
        <v>66.985235841796765</v>
      </c>
      <c r="T8" s="26">
        <f t="shared" si="1"/>
        <v>5.5660032364746197</v>
      </c>
      <c r="V8" s="42">
        <v>1</v>
      </c>
      <c r="W8" s="138">
        <f>(C8-I$7)^2</f>
        <v>225</v>
      </c>
      <c r="X8" s="23">
        <f>(D8-J$7)^2</f>
        <v>100</v>
      </c>
      <c r="Y8" s="23">
        <f t="shared" si="2"/>
        <v>400</v>
      </c>
      <c r="Z8" s="7">
        <f t="shared" si="2"/>
        <v>225</v>
      </c>
    </row>
    <row r="9" spans="2:26" x14ac:dyDescent="0.25">
      <c r="B9" s="65">
        <v>2</v>
      </c>
      <c r="C9" s="66">
        <v>260</v>
      </c>
      <c r="D9" s="66">
        <v>260</v>
      </c>
      <c r="E9" s="66">
        <v>240</v>
      </c>
      <c r="F9" s="67">
        <v>280</v>
      </c>
      <c r="G9" s="111"/>
      <c r="H9" s="72">
        <v>3</v>
      </c>
      <c r="I9" s="23">
        <f>AVERAGE(C11:C13)</f>
        <v>270</v>
      </c>
      <c r="J9" s="23">
        <f>AVERAGE(D11:D13)</f>
        <v>272.5</v>
      </c>
      <c r="K9" s="23">
        <f>AVERAGE(E11:E13)</f>
        <v>276.66666666666669</v>
      </c>
      <c r="L9" s="7">
        <f>AVERAGE(F11:F13)</f>
        <v>281.66666666666669</v>
      </c>
      <c r="M9" s="20">
        <f>AVERAGE(C11:F13)</f>
        <v>275.45454545454544</v>
      </c>
      <c r="N9" s="138">
        <f t="shared" si="0"/>
        <v>698.11760261899246</v>
      </c>
      <c r="O9" s="144"/>
      <c r="P9" s="72">
        <v>3</v>
      </c>
      <c r="Q9" s="25">
        <f t="shared" si="1"/>
        <v>114.60660229614746</v>
      </c>
      <c r="R9" s="25">
        <f t="shared" si="1"/>
        <v>7.1826458428433178</v>
      </c>
      <c r="S9" s="25">
        <f t="shared" si="1"/>
        <v>21.872583808367185</v>
      </c>
      <c r="T9" s="26">
        <f t="shared" si="1"/>
        <v>110.93976474772825</v>
      </c>
      <c r="V9" s="65">
        <v>2</v>
      </c>
      <c r="W9" s="149">
        <f>(C9-I$8)^2</f>
        <v>625</v>
      </c>
      <c r="X9" s="66">
        <f>(D9-J$8)^2</f>
        <v>400</v>
      </c>
      <c r="Y9" s="66">
        <f t="shared" ref="Y9:Z10" si="3">(E9-K$8)^2</f>
        <v>400</v>
      </c>
      <c r="Z9" s="67">
        <f t="shared" si="3"/>
        <v>56.25</v>
      </c>
    </row>
    <row r="10" spans="2:26" x14ac:dyDescent="0.25">
      <c r="B10" s="65">
        <v>2</v>
      </c>
      <c r="C10" s="66">
        <v>210</v>
      </c>
      <c r="D10" s="66">
        <v>300</v>
      </c>
      <c r="E10" s="66">
        <v>280</v>
      </c>
      <c r="F10" s="67">
        <v>265</v>
      </c>
      <c r="G10" s="111"/>
      <c r="H10" s="72">
        <v>4</v>
      </c>
      <c r="I10" s="23">
        <f>AVERAGE(C14)</f>
        <v>275</v>
      </c>
      <c r="J10" s="23">
        <f>AVERAGE(D14)</f>
        <v>275</v>
      </c>
      <c r="K10" s="23">
        <f>AVERAGE(E14)</f>
        <v>275</v>
      </c>
      <c r="L10" s="7"/>
      <c r="M10" s="20">
        <f>AVERAGE(C14:F14)</f>
        <v>275</v>
      </c>
      <c r="N10" s="138">
        <f t="shared" si="0"/>
        <v>212.74238227146876</v>
      </c>
      <c r="O10" s="144"/>
      <c r="P10" s="72">
        <v>4</v>
      </c>
      <c r="Q10" s="25">
        <f t="shared" si="1"/>
        <v>135.38109842274906</v>
      </c>
      <c r="R10" s="25">
        <f t="shared" si="1"/>
        <v>23.518853524789691</v>
      </c>
      <c r="S10" s="25">
        <f t="shared" si="1"/>
        <v>15.305940289319549</v>
      </c>
      <c r="T10" s="26">
        <f t="shared" si="1"/>
        <v>0</v>
      </c>
      <c r="V10" s="65">
        <v>2</v>
      </c>
      <c r="W10" s="149">
        <f>(C10-I$8)^2</f>
        <v>625</v>
      </c>
      <c r="X10" s="66">
        <f>(D10-J$8)^2</f>
        <v>400</v>
      </c>
      <c r="Y10" s="66">
        <f t="shared" si="3"/>
        <v>400</v>
      </c>
      <c r="Z10" s="67">
        <f t="shared" si="3"/>
        <v>56.25</v>
      </c>
    </row>
    <row r="11" spans="2:26" x14ac:dyDescent="0.25">
      <c r="B11" s="42">
        <v>3</v>
      </c>
      <c r="C11" s="23">
        <v>270</v>
      </c>
      <c r="D11" s="23">
        <v>265</v>
      </c>
      <c r="E11" s="23">
        <v>280</v>
      </c>
      <c r="F11" s="7">
        <v>270</v>
      </c>
      <c r="G11" s="111"/>
      <c r="H11" s="72">
        <v>5</v>
      </c>
      <c r="I11" s="23">
        <f>AVERAGE(C15:C16)</f>
        <v>300</v>
      </c>
      <c r="J11" s="23">
        <f>AVERAGE(D15:D16)</f>
        <v>290</v>
      </c>
      <c r="K11" s="23">
        <f>AVERAGE(E15:E16)</f>
        <v>300</v>
      </c>
      <c r="L11" s="7">
        <f>AVERAGE(F15:F16)</f>
        <v>290</v>
      </c>
      <c r="M11" s="20">
        <f>AVERAGE(C15:F16)</f>
        <v>295</v>
      </c>
      <c r="N11" s="138">
        <f t="shared" si="0"/>
        <v>1072.5761772853164</v>
      </c>
      <c r="O11" s="144"/>
      <c r="P11" s="72">
        <v>5</v>
      </c>
      <c r="Q11" s="25">
        <f t="shared" si="1"/>
        <v>553.46896376279176</v>
      </c>
      <c r="R11" s="25">
        <f t="shared" si="1"/>
        <v>4.5225846571298536E-2</v>
      </c>
      <c r="S11" s="25">
        <f t="shared" si="1"/>
        <v>2.3662665435519967</v>
      </c>
      <c r="T11" s="26">
        <f t="shared" si="1"/>
        <v>598.11182090564728</v>
      </c>
      <c r="V11" s="42">
        <v>3</v>
      </c>
      <c r="W11" s="138">
        <f>(C11-I$9)^2</f>
        <v>0</v>
      </c>
      <c r="X11" s="23">
        <f>(D11-J$9)^2</f>
        <v>56.25</v>
      </c>
      <c r="Y11" s="23">
        <f t="shared" ref="Y11:Z13" si="4">(E11-K$9)^2</f>
        <v>11.111111111110985</v>
      </c>
      <c r="Z11" s="7">
        <f t="shared" si="4"/>
        <v>136.11111111111154</v>
      </c>
    </row>
    <row r="12" spans="2:26" x14ac:dyDescent="0.25">
      <c r="B12" s="42">
        <v>3</v>
      </c>
      <c r="C12" s="23">
        <v>280</v>
      </c>
      <c r="D12" s="23">
        <v>280</v>
      </c>
      <c r="E12" s="23">
        <v>270</v>
      </c>
      <c r="F12" s="7">
        <v>275</v>
      </c>
      <c r="G12" s="111"/>
      <c r="H12" s="72">
        <v>6</v>
      </c>
      <c r="I12" s="23">
        <f>AVERAGE(C17:C18)</f>
        <v>285</v>
      </c>
      <c r="J12" s="23">
        <f>AVERAGE(D17:D18)</f>
        <v>275</v>
      </c>
      <c r="K12" s="23">
        <f>AVERAGE(E17:E18)</f>
        <v>320</v>
      </c>
      <c r="L12" s="7">
        <f>AVERAGE(F17:F18)</f>
        <v>335</v>
      </c>
      <c r="M12" s="20">
        <f>AVERAGE(C17:F18)</f>
        <v>303.75</v>
      </c>
      <c r="N12" s="138">
        <f t="shared" si="0"/>
        <v>3306.1288088642618</v>
      </c>
      <c r="O12" s="20"/>
      <c r="P12" s="72">
        <v>6</v>
      </c>
      <c r="Q12" s="25">
        <f t="shared" si="1"/>
        <v>101.23682090564701</v>
      </c>
      <c r="R12" s="25">
        <f t="shared" si="1"/>
        <v>1142.4559401322829</v>
      </c>
      <c r="S12" s="25">
        <f t="shared" si="1"/>
        <v>304.43863496460602</v>
      </c>
      <c r="T12" s="26">
        <f t="shared" si="1"/>
        <v>718.71802391316669</v>
      </c>
      <c r="V12" s="42">
        <v>3</v>
      </c>
      <c r="W12" s="138">
        <f t="shared" ref="W12:X13" si="5">(C12-I$9)^2</f>
        <v>100</v>
      </c>
      <c r="X12" s="23">
        <f t="shared" si="5"/>
        <v>56.25</v>
      </c>
      <c r="Y12" s="23">
        <f t="shared" si="4"/>
        <v>44.444444444444699</v>
      </c>
      <c r="Z12" s="7">
        <f t="shared" si="4"/>
        <v>44.444444444444699</v>
      </c>
    </row>
    <row r="13" spans="2:26" x14ac:dyDescent="0.25">
      <c r="B13" s="42">
        <v>3</v>
      </c>
      <c r="C13" s="23">
        <v>260</v>
      </c>
      <c r="D13" s="74"/>
      <c r="E13" s="23">
        <v>280</v>
      </c>
      <c r="F13" s="7">
        <v>300</v>
      </c>
      <c r="G13" s="111"/>
      <c r="H13" s="72">
        <v>7</v>
      </c>
      <c r="I13" s="23">
        <f>AVERAGE(C19:C20)</f>
        <v>320</v>
      </c>
      <c r="J13" s="23">
        <f>AVERAGE(D19:D20)</f>
        <v>325</v>
      </c>
      <c r="K13" s="23">
        <f>AVERAGE(E19:E20)</f>
        <v>332.5</v>
      </c>
      <c r="L13" s="7">
        <f>AVERAGE(F19:F20)</f>
        <v>352.5</v>
      </c>
      <c r="M13" s="20">
        <f>AVERAGE(C19:F20)</f>
        <v>334.28571428571428</v>
      </c>
      <c r="N13" s="138">
        <f t="shared" si="0"/>
        <v>18110.496636327647</v>
      </c>
      <c r="P13" s="72">
        <v>7</v>
      </c>
      <c r="Q13" s="25">
        <f t="shared" si="1"/>
        <v>7.0244926225336286</v>
      </c>
      <c r="R13" s="25">
        <f t="shared" si="1"/>
        <v>39.357792978686675</v>
      </c>
      <c r="S13" s="25">
        <f t="shared" si="1"/>
        <v>64.93429375443533</v>
      </c>
      <c r="T13" s="26">
        <f t="shared" si="1"/>
        <v>70.117728531856244</v>
      </c>
      <c r="V13" s="42">
        <v>3</v>
      </c>
      <c r="W13" s="138">
        <f t="shared" si="5"/>
        <v>100</v>
      </c>
      <c r="X13" s="74"/>
      <c r="Y13" s="23">
        <f t="shared" si="4"/>
        <v>11.111111111110985</v>
      </c>
      <c r="Z13" s="7">
        <f t="shared" si="4"/>
        <v>336.1111111111104</v>
      </c>
    </row>
    <row r="14" spans="2:26" x14ac:dyDescent="0.25">
      <c r="B14" s="65">
        <v>4</v>
      </c>
      <c r="C14" s="66">
        <v>275</v>
      </c>
      <c r="D14" s="66">
        <v>275</v>
      </c>
      <c r="E14" s="66">
        <v>275</v>
      </c>
      <c r="F14" s="73"/>
      <c r="G14" s="111"/>
      <c r="H14" s="75">
        <v>8</v>
      </c>
      <c r="I14" s="129">
        <f>AVERAGE(C21)</f>
        <v>350</v>
      </c>
      <c r="J14" s="129">
        <f>AVERAGE(D21)</f>
        <v>320</v>
      </c>
      <c r="K14" s="129">
        <f>AVERAGE(E21)</f>
        <v>340</v>
      </c>
      <c r="L14" s="10">
        <f>AVERAGE(F21)</f>
        <v>365</v>
      </c>
      <c r="M14" s="40">
        <f>AVERAGE(C21:F21)</f>
        <v>343.75</v>
      </c>
      <c r="N14" s="37">
        <f t="shared" si="0"/>
        <v>14558.327562326864</v>
      </c>
      <c r="P14" s="75">
        <v>8</v>
      </c>
      <c r="Q14" s="40">
        <f t="shared" si="1"/>
        <v>319.88532774605761</v>
      </c>
      <c r="R14" s="27">
        <f t="shared" si="1"/>
        <v>357.22421066764548</v>
      </c>
      <c r="S14" s="27">
        <f t="shared" si="1"/>
        <v>58.710545552477214</v>
      </c>
      <c r="T14" s="28">
        <f t="shared" si="1"/>
        <v>80.223673610718592</v>
      </c>
      <c r="V14" s="65">
        <v>4</v>
      </c>
      <c r="W14" s="149">
        <f>(C14-I$10)^2</f>
        <v>0</v>
      </c>
      <c r="X14" s="66">
        <f>(D14-J$10)^2</f>
        <v>0</v>
      </c>
      <c r="Y14" s="66">
        <f t="shared" ref="Y14" si="6">(E14-K$10)^2</f>
        <v>0</v>
      </c>
      <c r="Z14" s="73"/>
    </row>
    <row r="15" spans="2:26" ht="18" customHeight="1" x14ac:dyDescent="0.25">
      <c r="B15" s="42">
        <v>5</v>
      </c>
      <c r="C15" s="23">
        <v>280</v>
      </c>
      <c r="D15" s="23">
        <v>290</v>
      </c>
      <c r="E15" s="23">
        <v>300</v>
      </c>
      <c r="F15" s="7">
        <v>290</v>
      </c>
      <c r="G15" s="111"/>
      <c r="H15" s="81"/>
      <c r="I15" s="20">
        <f>AVERAGE(C7:C21)</f>
        <v>271.78571428571428</v>
      </c>
      <c r="J15" s="20">
        <f>AVERAGE(D7:D21)</f>
        <v>278.57142857142856</v>
      </c>
      <c r="K15" s="20">
        <f>AVERAGE(E7:E21)</f>
        <v>287.33333333333331</v>
      </c>
      <c r="L15" s="79">
        <f>AVERAGE(F7:F21)</f>
        <v>295.71428571428572</v>
      </c>
      <c r="M15" s="140"/>
      <c r="N15" s="141">
        <f>SUM(N7:N14)/(K1-1)</f>
        <v>11701.516270383752</v>
      </c>
      <c r="O15" s="20"/>
      <c r="P15" s="140"/>
      <c r="Q15" s="146">
        <f>SUM(Q7:T14)/((M1-1)*(K1-1))</f>
        <v>319.1734079710717</v>
      </c>
      <c r="V15" s="42">
        <v>5</v>
      </c>
      <c r="W15" s="138">
        <f>(C15-I$11)^2</f>
        <v>400</v>
      </c>
      <c r="X15" s="23">
        <f>(D15-J$11)^2</f>
        <v>0</v>
      </c>
      <c r="Y15" s="23">
        <f t="shared" ref="Y15:Z16" si="7">(E15-K$11)^2</f>
        <v>0</v>
      </c>
      <c r="Z15" s="7">
        <f t="shared" si="7"/>
        <v>0</v>
      </c>
    </row>
    <row r="16" spans="2:26" ht="18.75" customHeight="1" x14ac:dyDescent="0.25">
      <c r="B16" s="42">
        <v>5</v>
      </c>
      <c r="C16" s="23">
        <v>320</v>
      </c>
      <c r="D16" s="23">
        <v>290</v>
      </c>
      <c r="E16" s="23">
        <v>300</v>
      </c>
      <c r="F16" s="7">
        <v>290</v>
      </c>
      <c r="G16" s="111"/>
      <c r="H16" s="5"/>
      <c r="I16" s="139">
        <f>C33*(I15-$K$2)^2</f>
        <v>1895.3353779184868</v>
      </c>
      <c r="J16" s="139">
        <f>D33*(J15-$K$2)^2</f>
        <v>329.2639493470557</v>
      </c>
      <c r="K16" s="139">
        <f>E33*(K15-$K$2)^2</f>
        <v>229.58910433979324</v>
      </c>
      <c r="L16" s="165">
        <f>F33*(L15-$K$2)^2</f>
        <v>2115.7301147605845</v>
      </c>
      <c r="M16" s="140"/>
      <c r="N16" s="145">
        <f>SUM(I16:L16)/(M1-1)</f>
        <v>1523.3061821219733</v>
      </c>
      <c r="O16" s="20"/>
      <c r="P16"/>
      <c r="Q16" s="25"/>
      <c r="R16" s="25"/>
      <c r="S16" s="25"/>
      <c r="T16" s="25"/>
      <c r="U16" s="23"/>
      <c r="V16" s="42">
        <v>5</v>
      </c>
      <c r="W16" s="138">
        <f>(C16-I$11)^2</f>
        <v>400</v>
      </c>
      <c r="X16" s="23">
        <f>(D16-J$11)^2</f>
        <v>0</v>
      </c>
      <c r="Y16" s="23">
        <f t="shared" si="7"/>
        <v>0</v>
      </c>
      <c r="Z16" s="7">
        <f t="shared" si="7"/>
        <v>0</v>
      </c>
    </row>
    <row r="17" spans="2:26" x14ac:dyDescent="0.25">
      <c r="B17" s="65">
        <v>6</v>
      </c>
      <c r="C17" s="66">
        <v>300</v>
      </c>
      <c r="D17" s="66">
        <v>300</v>
      </c>
      <c r="E17" s="66">
        <v>310</v>
      </c>
      <c r="F17" s="67">
        <v>300</v>
      </c>
      <c r="G17" s="111"/>
      <c r="H17" s="18"/>
      <c r="I17" s="25"/>
      <c r="J17" s="25"/>
      <c r="K17" s="25"/>
      <c r="L17" s="25"/>
      <c r="O17" s="20"/>
      <c r="P17" s="18"/>
      <c r="Q17" s="25"/>
      <c r="R17" s="25"/>
      <c r="S17" s="25"/>
      <c r="T17" s="25"/>
      <c r="U17" s="23"/>
      <c r="V17" s="65">
        <v>6</v>
      </c>
      <c r="W17" s="149">
        <f>(C17-I$12)^2</f>
        <v>225</v>
      </c>
      <c r="X17" s="66">
        <f>(D17-J$12)^2</f>
        <v>625</v>
      </c>
      <c r="Y17" s="66">
        <f t="shared" ref="Y17:Z18" si="8">(E17-K$12)^2</f>
        <v>100</v>
      </c>
      <c r="Z17" s="67">
        <f t="shared" si="8"/>
        <v>1225</v>
      </c>
    </row>
    <row r="18" spans="2:26" x14ac:dyDescent="0.25">
      <c r="B18" s="65">
        <v>6</v>
      </c>
      <c r="C18" s="66">
        <v>270</v>
      </c>
      <c r="D18" s="66">
        <v>250</v>
      </c>
      <c r="E18" s="66">
        <v>330</v>
      </c>
      <c r="F18" s="67">
        <v>370</v>
      </c>
      <c r="G18" s="111"/>
      <c r="H18" s="18"/>
      <c r="I18" s="167"/>
      <c r="J18" s="25"/>
      <c r="K18" s="25"/>
      <c r="L18" s="25"/>
      <c r="O18" s="20"/>
      <c r="P18" s="18"/>
      <c r="Q18" s="25"/>
      <c r="R18" s="25"/>
      <c r="S18" s="25"/>
      <c r="T18" s="25"/>
      <c r="U18" s="23"/>
      <c r="V18" s="65">
        <v>6</v>
      </c>
      <c r="W18" s="149">
        <f>(C18-I$12)^2</f>
        <v>225</v>
      </c>
      <c r="X18" s="66">
        <f>(D18-J$12)^2</f>
        <v>625</v>
      </c>
      <c r="Y18" s="66">
        <f t="shared" si="8"/>
        <v>100</v>
      </c>
      <c r="Z18" s="67">
        <f t="shared" si="8"/>
        <v>1225</v>
      </c>
    </row>
    <row r="19" spans="2:26" x14ac:dyDescent="0.25">
      <c r="B19" s="42">
        <v>7</v>
      </c>
      <c r="C19" s="23">
        <v>320</v>
      </c>
      <c r="D19" s="23">
        <v>330</v>
      </c>
      <c r="E19" s="23">
        <v>330</v>
      </c>
      <c r="F19" s="7">
        <v>330</v>
      </c>
      <c r="G19" s="111"/>
      <c r="H19" s="18"/>
      <c r="I19" s="25"/>
      <c r="J19" s="25"/>
      <c r="K19" s="25"/>
      <c r="L19" s="25"/>
      <c r="O19" s="20"/>
      <c r="P19" s="18"/>
      <c r="Q19" s="25"/>
      <c r="R19" s="25"/>
      <c r="S19" s="25"/>
      <c r="T19" s="25"/>
      <c r="U19" s="23"/>
      <c r="V19" s="42">
        <v>7</v>
      </c>
      <c r="W19" s="138">
        <f>(C19-I$13)^2</f>
        <v>0</v>
      </c>
      <c r="X19" s="23">
        <f>(D19-J$13)^2</f>
        <v>25</v>
      </c>
      <c r="Y19" s="23">
        <f t="shared" ref="Y19:Z19" si="9">(E19-K$13)^2</f>
        <v>6.25</v>
      </c>
      <c r="Z19" s="7">
        <f t="shared" si="9"/>
        <v>506.25</v>
      </c>
    </row>
    <row r="20" spans="2:26" x14ac:dyDescent="0.25">
      <c r="B20" s="42">
        <v>7</v>
      </c>
      <c r="C20" s="74"/>
      <c r="D20" s="23">
        <v>320</v>
      </c>
      <c r="E20" s="23">
        <v>335</v>
      </c>
      <c r="F20" s="7">
        <v>375</v>
      </c>
      <c r="G20" s="111"/>
      <c r="H20" s="18"/>
      <c r="I20" s="25"/>
      <c r="J20" s="25"/>
      <c r="K20" s="25"/>
      <c r="L20" s="25"/>
      <c r="O20" s="20"/>
      <c r="P20" s="18"/>
      <c r="Q20" s="25"/>
      <c r="R20" s="25"/>
      <c r="S20" s="25"/>
      <c r="T20" s="25"/>
      <c r="U20" s="23"/>
      <c r="V20" s="42">
        <v>7</v>
      </c>
      <c r="W20" s="150"/>
      <c r="X20" s="23">
        <f>(D20-J$13)^2</f>
        <v>25</v>
      </c>
      <c r="Y20" s="23">
        <f t="shared" ref="Y20" si="10">(E20-K$13)^2</f>
        <v>6.25</v>
      </c>
      <c r="Z20" s="7">
        <f t="shared" ref="Z20" si="11">(F20-L$13)^2</f>
        <v>506.25</v>
      </c>
    </row>
    <row r="21" spans="2:26" x14ac:dyDescent="0.25">
      <c r="B21" s="68">
        <v>8</v>
      </c>
      <c r="C21" s="69">
        <v>350</v>
      </c>
      <c r="D21" s="69">
        <v>320</v>
      </c>
      <c r="E21" s="69">
        <v>340</v>
      </c>
      <c r="F21" s="70">
        <v>365</v>
      </c>
      <c r="G21" s="111"/>
      <c r="H21" s="18"/>
      <c r="I21" s="25"/>
      <c r="J21" s="25"/>
      <c r="K21" s="25"/>
      <c r="L21" s="25"/>
      <c r="O21" s="20"/>
      <c r="P21" s="18"/>
      <c r="Q21" s="25"/>
      <c r="R21" s="25"/>
      <c r="S21" s="25"/>
      <c r="T21" s="25"/>
      <c r="U21" s="23"/>
      <c r="V21" s="68">
        <v>8</v>
      </c>
      <c r="W21" s="151">
        <f>(C21-I$14)^2</f>
        <v>0</v>
      </c>
      <c r="X21" s="69">
        <f>(D21-J$14)^2</f>
        <v>0</v>
      </c>
      <c r="Y21" s="69">
        <f t="shared" ref="Y21:Z21" si="12">(E21-K$14)^2</f>
        <v>0</v>
      </c>
      <c r="Z21" s="70">
        <f t="shared" si="12"/>
        <v>0</v>
      </c>
    </row>
    <row r="22" spans="2:26" ht="18" customHeight="1" x14ac:dyDescent="0.25">
      <c r="B22" s="18"/>
      <c r="C22" s="25"/>
      <c r="D22" s="25"/>
      <c r="E22" s="25"/>
      <c r="F22" s="25"/>
      <c r="H22" s="23"/>
      <c r="I22" s="23"/>
      <c r="J22" s="23"/>
      <c r="K22" s="23"/>
      <c r="L22" s="23"/>
      <c r="P22" s="23"/>
      <c r="Q22" s="23"/>
      <c r="R22" s="23"/>
      <c r="S22" s="23"/>
      <c r="T22" s="23"/>
      <c r="U22" s="23"/>
      <c r="V22" s="152"/>
      <c r="W22" s="166">
        <f>SUM(W7:Z21)/(M2-M1*K1)</f>
        <v>479.33333333333326</v>
      </c>
    </row>
    <row r="23" spans="2:26" x14ac:dyDescent="0.25">
      <c r="D23" s="129"/>
      <c r="K23" s="18"/>
      <c r="Q23" s="18"/>
      <c r="T23"/>
      <c r="W23" s="148"/>
    </row>
    <row r="24" spans="2:26" x14ac:dyDescent="0.25">
      <c r="B24" s="36" t="s">
        <v>0</v>
      </c>
      <c r="C24" s="8" t="s">
        <v>1</v>
      </c>
      <c r="D24" s="8" t="s">
        <v>2</v>
      </c>
      <c r="E24" s="8" t="s">
        <v>3</v>
      </c>
      <c r="F24" s="8" t="s">
        <v>4</v>
      </c>
      <c r="G24" s="29"/>
      <c r="H24" s="135"/>
      <c r="I24"/>
      <c r="J24" s="23"/>
      <c r="K24" s="23"/>
      <c r="L24" s="23"/>
      <c r="M24" s="23"/>
      <c r="N24" s="18"/>
      <c r="O24" s="23"/>
      <c r="P24" s="23"/>
      <c r="Q24" s="23"/>
      <c r="R24" s="23"/>
    </row>
    <row r="25" spans="2:26" x14ac:dyDescent="0.25">
      <c r="B25" s="71">
        <v>1</v>
      </c>
      <c r="C25" s="21">
        <f>COUNTA(C7:C8)</f>
        <v>2</v>
      </c>
      <c r="D25" s="21">
        <f>COUNTA(D7:D8)</f>
        <v>2</v>
      </c>
      <c r="E25" s="21">
        <f>COUNTA(E7:E8)</f>
        <v>2</v>
      </c>
      <c r="F25" s="21">
        <f>COUNTA(F7:F8)</f>
        <v>2</v>
      </c>
      <c r="G25" s="169">
        <f>SUM(C25:F25)</f>
        <v>8</v>
      </c>
      <c r="H25" s="99"/>
      <c r="I25"/>
      <c r="J25" s="18"/>
      <c r="K25" s="18"/>
      <c r="L25" s="18"/>
      <c r="M25" s="18"/>
      <c r="N25" s="18"/>
      <c r="O25" s="18"/>
      <c r="P25" s="18"/>
      <c r="Q25" s="18"/>
      <c r="R25" s="18"/>
    </row>
    <row r="26" spans="2:26" x14ac:dyDescent="0.25">
      <c r="B26" s="72">
        <v>2</v>
      </c>
      <c r="C26" s="23">
        <f>COUNTA(C9:C10)</f>
        <v>2</v>
      </c>
      <c r="D26" s="23">
        <f>COUNTA(D9:D10)</f>
        <v>2</v>
      </c>
      <c r="E26" s="23">
        <f>COUNTA(E9:E10)</f>
        <v>2</v>
      </c>
      <c r="F26" s="23">
        <f>COUNTA(F9:F10)</f>
        <v>2</v>
      </c>
      <c r="G26" s="169">
        <f t="shared" ref="G26:G32" si="13">SUM(C26:F26)</f>
        <v>8</v>
      </c>
      <c r="H26" s="99"/>
      <c r="I26"/>
      <c r="J26" s="18"/>
      <c r="K26" s="18"/>
      <c r="L26" s="18"/>
      <c r="M26" s="18"/>
      <c r="N26" s="18"/>
      <c r="O26" s="18"/>
      <c r="P26" s="18"/>
      <c r="Q26" s="18"/>
      <c r="R26" s="18"/>
    </row>
    <row r="27" spans="2:26" x14ac:dyDescent="0.25">
      <c r="B27" s="72">
        <v>3</v>
      </c>
      <c r="C27" s="23">
        <f>COUNTA(C11:C13)</f>
        <v>3</v>
      </c>
      <c r="D27" s="23">
        <f>COUNTA(D11:D13)</f>
        <v>2</v>
      </c>
      <c r="E27" s="23">
        <f>COUNTA(E11:E13)</f>
        <v>3</v>
      </c>
      <c r="F27" s="23">
        <f>COUNTA(F11:F13)</f>
        <v>3</v>
      </c>
      <c r="G27" s="169">
        <f t="shared" si="13"/>
        <v>11</v>
      </c>
      <c r="H27" s="99"/>
      <c r="I27"/>
      <c r="J27" s="18"/>
      <c r="K27" s="18"/>
      <c r="L27" s="18"/>
      <c r="M27" s="18"/>
      <c r="N27" s="18"/>
      <c r="O27" s="18"/>
      <c r="P27" s="18"/>
      <c r="Q27" s="18"/>
      <c r="R27" s="18"/>
    </row>
    <row r="28" spans="2:26" x14ac:dyDescent="0.25">
      <c r="B28" s="72">
        <v>4</v>
      </c>
      <c r="C28" s="23">
        <f>COUNTA(C14)</f>
        <v>1</v>
      </c>
      <c r="D28" s="23">
        <f>COUNTA(D14)</f>
        <v>1</v>
      </c>
      <c r="E28" s="23">
        <f>COUNTA(E14)</f>
        <v>1</v>
      </c>
      <c r="F28" s="23">
        <f>COUNTA(F14)</f>
        <v>0</v>
      </c>
      <c r="G28" s="169">
        <f t="shared" si="13"/>
        <v>3</v>
      </c>
      <c r="H28" s="99"/>
      <c r="I28"/>
      <c r="J28" s="18"/>
      <c r="K28" s="18"/>
      <c r="L28" s="18"/>
      <c r="M28" s="18"/>
      <c r="N28" s="18"/>
      <c r="O28" s="18"/>
      <c r="P28" s="18"/>
      <c r="Q28" s="18"/>
      <c r="R28" s="18"/>
    </row>
    <row r="29" spans="2:26" x14ac:dyDescent="0.25">
      <c r="B29" s="72">
        <v>5</v>
      </c>
      <c r="C29" s="23">
        <f>COUNTA(C15:C16)</f>
        <v>2</v>
      </c>
      <c r="D29" s="23">
        <f>COUNTA(D15:D16)</f>
        <v>2</v>
      </c>
      <c r="E29" s="23">
        <f>COUNTA(E15:E16)</f>
        <v>2</v>
      </c>
      <c r="F29" s="23">
        <f>COUNTA(F15:F16)</f>
        <v>2</v>
      </c>
      <c r="G29" s="169">
        <f t="shared" si="13"/>
        <v>8</v>
      </c>
      <c r="H29" s="99"/>
      <c r="I29"/>
      <c r="J29" s="18"/>
      <c r="K29" s="18"/>
      <c r="L29" s="18"/>
      <c r="M29" s="18"/>
      <c r="N29" s="18"/>
      <c r="O29" s="18"/>
      <c r="P29" s="18"/>
      <c r="Q29" s="18"/>
      <c r="R29" s="18"/>
    </row>
    <row r="30" spans="2:26" x14ac:dyDescent="0.25">
      <c r="B30" s="72">
        <v>6</v>
      </c>
      <c r="C30" s="23">
        <f>COUNTA(C17:C18)</f>
        <v>2</v>
      </c>
      <c r="D30" s="23">
        <f>COUNTA(D17:D18)</f>
        <v>2</v>
      </c>
      <c r="E30" s="23">
        <f>COUNTA(E17:E18)</f>
        <v>2</v>
      </c>
      <c r="F30" s="23">
        <f>COUNTA(F17:F18)</f>
        <v>2</v>
      </c>
      <c r="G30" s="169">
        <f t="shared" si="13"/>
        <v>8</v>
      </c>
      <c r="H30" s="99"/>
      <c r="I30"/>
      <c r="J30" s="18"/>
      <c r="K30" s="18"/>
      <c r="L30" s="18"/>
      <c r="M30" s="18"/>
      <c r="N30" s="18"/>
      <c r="O30" s="18"/>
      <c r="P30" s="18"/>
      <c r="Q30" s="18"/>
      <c r="R30" s="18"/>
    </row>
    <row r="31" spans="2:26" x14ac:dyDescent="0.25">
      <c r="B31" s="72">
        <v>7</v>
      </c>
      <c r="C31" s="23">
        <f>COUNTA(C19:C20)</f>
        <v>1</v>
      </c>
      <c r="D31" s="23">
        <f>COUNTA(D19:D20)</f>
        <v>2</v>
      </c>
      <c r="E31" s="23">
        <f>COUNTA(E19:E20)</f>
        <v>2</v>
      </c>
      <c r="F31" s="23">
        <f>COUNTA(F19:F20)</f>
        <v>2</v>
      </c>
      <c r="G31" s="169">
        <f t="shared" si="13"/>
        <v>7</v>
      </c>
      <c r="H31" s="99"/>
      <c r="I31"/>
      <c r="J31" s="18"/>
      <c r="K31" s="18"/>
      <c r="L31" s="18"/>
      <c r="M31" s="18"/>
      <c r="N31" s="18"/>
      <c r="O31" s="18"/>
      <c r="P31" s="18"/>
      <c r="Q31" s="18"/>
      <c r="R31" s="18"/>
    </row>
    <row r="32" spans="2:26" x14ac:dyDescent="0.25">
      <c r="B32" s="72">
        <v>8</v>
      </c>
      <c r="C32" s="23">
        <f>COUNTA(C21)</f>
        <v>1</v>
      </c>
      <c r="D32" s="23">
        <f>COUNTA(D21)</f>
        <v>1</v>
      </c>
      <c r="E32" s="23">
        <f>COUNTA(E21)</f>
        <v>1</v>
      </c>
      <c r="F32" s="23">
        <f>COUNTA(F21)</f>
        <v>1</v>
      </c>
      <c r="G32" s="170">
        <f t="shared" si="13"/>
        <v>4</v>
      </c>
      <c r="H32" s="99"/>
      <c r="I32"/>
      <c r="J32" s="18"/>
      <c r="K32"/>
      <c r="L32" s="18"/>
      <c r="M32" s="18"/>
      <c r="N32" s="18"/>
      <c r="O32" s="18"/>
      <c r="P32" s="18"/>
      <c r="Q32" s="18"/>
      <c r="R32" s="18"/>
    </row>
    <row r="33" spans="1:24" ht="21" customHeight="1" x14ac:dyDescent="0.25">
      <c r="B33" s="137"/>
      <c r="C33" s="168">
        <f>SUM(C25:C32)</f>
        <v>14</v>
      </c>
      <c r="D33" s="168">
        <f t="shared" ref="D33:F33" si="14">SUM(D25:D32)</f>
        <v>14</v>
      </c>
      <c r="E33" s="168">
        <f t="shared" si="14"/>
        <v>15</v>
      </c>
      <c r="F33" s="168">
        <f t="shared" si="14"/>
        <v>14</v>
      </c>
      <c r="G33" s="171">
        <f>SUM(C33:F33)</f>
        <v>57</v>
      </c>
      <c r="H33" s="136"/>
      <c r="I33"/>
      <c r="J33"/>
      <c r="K33"/>
      <c r="L33"/>
      <c r="M33"/>
      <c r="N33"/>
      <c r="O33"/>
      <c r="P33"/>
      <c r="Q33"/>
      <c r="R33"/>
    </row>
    <row r="34" spans="1:24" x14ac:dyDescent="0.25">
      <c r="M34"/>
    </row>
    <row r="35" spans="1:24" ht="22.5" customHeight="1" x14ac:dyDescent="0.25">
      <c r="C35" s="147"/>
      <c r="D35" s="147"/>
      <c r="E35" s="147"/>
      <c r="F35" s="147"/>
      <c r="G35"/>
      <c r="H35" s="23"/>
      <c r="J35"/>
      <c r="K35" s="147"/>
      <c r="L35" s="147"/>
      <c r="M35" s="147"/>
      <c r="N35" s="147"/>
    </row>
    <row r="36" spans="1:24" s="55" customFormat="1" ht="22.5" customHeight="1" x14ac:dyDescent="0.25">
      <c r="I36" s="56"/>
      <c r="P36" s="56"/>
      <c r="Q36" s="56"/>
      <c r="R36" s="56"/>
      <c r="S36" s="56"/>
      <c r="T36" s="56"/>
      <c r="U36" s="56"/>
      <c r="V36" s="56"/>
      <c r="W36" s="91"/>
      <c r="X36" s="91"/>
    </row>
    <row r="45" spans="1:24" s="1" customFormat="1" ht="21" customHeight="1" x14ac:dyDescent="0.25">
      <c r="A45"/>
      <c r="W45" s="132"/>
      <c r="X45" s="132"/>
    </row>
    <row r="46" spans="1:24" s="1" customFormat="1" ht="21" customHeight="1" x14ac:dyDescent="0.25">
      <c r="A46" s="18"/>
      <c r="W46" s="132"/>
      <c r="X46" s="132"/>
    </row>
    <row r="47" spans="1:24" x14ac:dyDescent="0.25">
      <c r="D47"/>
    </row>
  </sheetData>
  <mergeCells count="1">
    <mergeCell ref="C5:F5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Q16"/>
  <sheetViews>
    <sheetView workbookViewId="0">
      <selection activeCell="K8" sqref="K8"/>
    </sheetView>
  </sheetViews>
  <sheetFormatPr defaultRowHeight="15" x14ac:dyDescent="0.25"/>
  <cols>
    <col min="2" max="2" width="20.28515625" customWidth="1"/>
    <col min="3" max="3" width="6.140625" style="1" customWidth="1"/>
    <col min="5" max="9" width="9.140625" style="1"/>
    <col min="10" max="10" width="10.85546875" style="4" customWidth="1"/>
    <col min="17" max="17" width="9.140625" style="14"/>
  </cols>
  <sheetData>
    <row r="1" spans="2:10" x14ac:dyDescent="0.25">
      <c r="J1" s="259"/>
    </row>
    <row r="2" spans="2:10" x14ac:dyDescent="0.25">
      <c r="J2" s="58"/>
    </row>
    <row r="3" spans="2:10" ht="18.75" x14ac:dyDescent="0.3">
      <c r="B3" s="336">
        <f>'Example 5.2'!Q15</f>
        <v>319.1734079710717</v>
      </c>
      <c r="D3" s="345"/>
      <c r="E3" s="346" t="s">
        <v>37</v>
      </c>
      <c r="F3" s="346" t="s">
        <v>38</v>
      </c>
      <c r="G3" s="347" t="s">
        <v>39</v>
      </c>
      <c r="H3" s="345"/>
      <c r="I3" s="347" t="s">
        <v>40</v>
      </c>
      <c r="J3" s="348" t="s">
        <v>18</v>
      </c>
    </row>
    <row r="4" spans="2:10" ht="15.75" x14ac:dyDescent="0.25">
      <c r="B4" s="351">
        <f>'Example 5.2'!N16</f>
        <v>1523.3061821219733</v>
      </c>
      <c r="D4" s="349">
        <v>0.5</v>
      </c>
      <c r="E4" s="339">
        <f>$B$7*D4/($B$8*(1-D4))</f>
        <v>0.5</v>
      </c>
      <c r="F4" s="340">
        <f>1+($B$7*($B$8-1)*D4)/($B$8*(1-D4))</f>
        <v>4.5</v>
      </c>
      <c r="G4" s="340">
        <f>($B$9/$B$8-$B$7)*$D4/(1-$D4)</f>
        <v>3.125</v>
      </c>
      <c r="H4" s="340">
        <f>$B$6/(E4*$B$4+F4*$B$3+G4*$B$5)</f>
        <v>3.1661230769762367</v>
      </c>
      <c r="I4" s="340">
        <f>(E4*$B$4+F4*$B$3+G4*$B$5)^2/((E4*$B$4)^2/($B$7-1)+(F4*$B$3)^2/(($B$7-1)*($B$8-1))+(G4*$B$5)^2/($B$9-$B$8*$B$7))</f>
        <v>35.817793123177282</v>
      </c>
      <c r="J4" s="341">
        <f>FDIST(H4,$B$8-1,I4)</f>
        <v>1.0601350765881513E-2</v>
      </c>
    </row>
    <row r="5" spans="2:10" ht="15.75" x14ac:dyDescent="0.25">
      <c r="B5" s="336">
        <f>'Example 5.2'!W22</f>
        <v>479.33333333333326</v>
      </c>
      <c r="D5" s="349">
        <f>D4+0.05</f>
        <v>0.55000000000000004</v>
      </c>
      <c r="E5" s="339">
        <f>$B$7*D5/($B$8*(1-D5))</f>
        <v>0.61111111111111127</v>
      </c>
      <c r="F5" s="340">
        <f>1+($B$7*($B$8-1)*D5)/($B$8*(1-D5))</f>
        <v>5.2777777777777786</v>
      </c>
      <c r="G5" s="340">
        <f>($B$9/$B$8-$B$7)*$D5/(1-$D5)</f>
        <v>3.8194444444444455</v>
      </c>
      <c r="H5" s="340">
        <f>$B$6/(E5*$B$4+F5*$B$3+G5*$B$5)</f>
        <v>2.6317881683344644</v>
      </c>
      <c r="I5" s="340">
        <f>(E5*$B$4+F5*$B$3+G5*$B$5)^2/((E5*$B$4)^2/($B$7-1)+(F5*$B$3)^2/(($B$7-1)*($B$8-1))+(G5*$B$5)^2/($B$9-$B$8*$B$7))</f>
        <v>35.424288850081659</v>
      </c>
      <c r="J5" s="341">
        <f>FDIST(H5,$B$8-1,I5)</f>
        <v>2.700945050515198E-2</v>
      </c>
    </row>
    <row r="6" spans="2:10" ht="15.75" x14ac:dyDescent="0.25">
      <c r="B6" s="351">
        <f>'Example 5.2'!N15</f>
        <v>11701.516270383752</v>
      </c>
      <c r="D6" s="349">
        <f t="shared" ref="D6:D13" si="0">D5+0.05</f>
        <v>0.60000000000000009</v>
      </c>
      <c r="E6" s="337">
        <f>$B$7*D6/($B$8*(1-D6))</f>
        <v>0.75000000000000022</v>
      </c>
      <c r="F6" s="338">
        <f>1+($B$7*($B$8-1)*D6)/($B$8*(1-D6))</f>
        <v>6.2500000000000027</v>
      </c>
      <c r="G6" s="340">
        <f>($B$9/$B$8-$B$7)*$D6/(1-$D6)</f>
        <v>4.6875000000000018</v>
      </c>
      <c r="H6" s="340">
        <f>$B$6/(E6*$B$4+F6*$B$3+G6*$B$5)</f>
        <v>2.173311058590004</v>
      </c>
      <c r="I6" s="340">
        <f>(E6*$B$4+F6*$B$3+G6*$B$5)^2/((E6*$B$4)^2/($B$7-1)+(F6*$B$3)^2/(($B$7-1)*($B$8-1))+(G6*$B$5)^2/($B$9-$B$8*$B$7))</f>
        <v>35.074238036517578</v>
      </c>
      <c r="J6" s="341">
        <f>FDIST(H6,$B$8-1,I6)</f>
        <v>6.1038614226148924E-2</v>
      </c>
    </row>
    <row r="7" spans="2:10" ht="15.75" x14ac:dyDescent="0.25">
      <c r="B7" s="352">
        <v>4</v>
      </c>
      <c r="D7" s="350">
        <f t="shared" si="0"/>
        <v>0.65000000000000013</v>
      </c>
      <c r="E7" s="342">
        <f>$B$7*D7/($B$8*(1-D7))</f>
        <v>0.92857142857142916</v>
      </c>
      <c r="F7" s="343">
        <f>1+($B$7*($B$8-1)*D7)/($B$8*(1-D7))</f>
        <v>7.5000000000000036</v>
      </c>
      <c r="G7" s="343">
        <f>($B$9/$B$8-$B$7)*$D7/(1-$D7)</f>
        <v>5.8035714285714324</v>
      </c>
      <c r="H7" s="343">
        <f>$B$6/(E7*$B$4+F7*$B$3+G7*$B$5)</f>
        <v>1.7756084795747697</v>
      </c>
      <c r="I7" s="343">
        <f>(E7*$B$4+F7*$B$3+G7*$B$5)^2/((E7*$B$4)^2/($B$7-1)+(F7*$B$3)^2/(($B$7-1)*($B$8-1))+(G7*$B$5)^2/($B$9-$B$8*$B$7))</f>
        <v>34.762009959626425</v>
      </c>
      <c r="J7" s="344">
        <f>FDIST(H7,$B$8-1,I7)</f>
        <v>0.12461722051162753</v>
      </c>
    </row>
    <row r="8" spans="2:10" ht="15.75" x14ac:dyDescent="0.25">
      <c r="B8" s="335">
        <v>8</v>
      </c>
      <c r="D8" s="349">
        <f t="shared" si="0"/>
        <v>0.70000000000000018</v>
      </c>
      <c r="E8" s="339">
        <f>$B$7*D8/($B$8*(1-D8))</f>
        <v>1.1666666666666676</v>
      </c>
      <c r="F8" s="340">
        <f>1+($B$7*($B$8-1)*D8)/($B$8*(1-D8))</f>
        <v>9.1666666666666732</v>
      </c>
      <c r="G8" s="340">
        <f>($B$9/$B$8-$B$7)*$D8/(1-$D8)</f>
        <v>7.2916666666666723</v>
      </c>
      <c r="H8" s="340">
        <f>$B$6/(E8*$B$4+F8*$B$3+G8*$B$5)</f>
        <v>1.4273473997566517</v>
      </c>
      <c r="I8" s="340">
        <f>(E8*$B$4+F8*$B$3+G8*$B$5)^2/((E8*$B$4)^2/($B$7-1)+(F8*$B$3)^2/(($B$7-1)*($B$8-1))+(G8*$B$5)^2/($B$9-$B$8*$B$7))</f>
        <v>34.48251680556627</v>
      </c>
      <c r="J8" s="341">
        <f>FDIST(H8,$B$8-1,I8)</f>
        <v>0.22673715251046953</v>
      </c>
    </row>
    <row r="9" spans="2:10" ht="15.75" x14ac:dyDescent="0.25">
      <c r="B9" s="335">
        <f>'Example 5.2'!M2</f>
        <v>57</v>
      </c>
      <c r="D9" s="349">
        <f t="shared" si="0"/>
        <v>0.75000000000000022</v>
      </c>
      <c r="E9" s="337">
        <f>$B$7*D9/($B$8*(1-D9))</f>
        <v>1.5000000000000018</v>
      </c>
      <c r="F9" s="338">
        <f>1+($B$7*($B$8-1)*D9)/($B$8*(1-D9))</f>
        <v>11.500000000000012</v>
      </c>
      <c r="G9" s="340">
        <f>($B$9/$B$8-$B$7)*$D9/(1-$D9)</f>
        <v>9.3750000000000124</v>
      </c>
      <c r="H9" s="340">
        <f>$B$6/(E9*$B$4+F9*$B$3+G9*$B$5)</f>
        <v>1.1198476811889124</v>
      </c>
      <c r="I9" s="340">
        <f>(E9*$B$4+F9*$B$3+G9*$B$5)^2/((E9*$B$4)^2/($B$7-1)+(F9*$B$3)^2/(($B$7-1)*($B$8-1))+(G9*$B$5)^2/($B$9-$B$8*$B$7))</f>
        <v>34.231330378475903</v>
      </c>
      <c r="J9" s="341">
        <f>FDIST(H9,$B$8-1,I9)</f>
        <v>0.37366181636587648</v>
      </c>
    </row>
    <row r="10" spans="2:10" ht="15.75" x14ac:dyDescent="0.25">
      <c r="D10" s="349">
        <f t="shared" si="0"/>
        <v>0.80000000000000027</v>
      </c>
      <c r="E10" s="339">
        <f>$B$7*D10/($B$8*(1-D10))</f>
        <v>2.0000000000000036</v>
      </c>
      <c r="F10" s="340">
        <f>1+($B$7*($B$8-1)*D10)/($B$8*(1-D10))</f>
        <v>15.000000000000021</v>
      </c>
      <c r="G10" s="340">
        <f>($B$9/$B$8-$B$7)*$D10/(1-$D10)</f>
        <v>12.500000000000021</v>
      </c>
      <c r="H10" s="340">
        <f>$B$6/(E10*$B$4+F10*$B$3+G10*$B$5)</f>
        <v>0.84634874185426012</v>
      </c>
      <c r="I10" s="340">
        <f>(E10*$B$4+F10*$B$3+G10*$B$5)^2/((E10*$B$4)^2/($B$7-1)+(F10*$B$3)^2/(($B$7-1)*($B$8-1))+(G10*$B$5)^2/($B$9-$B$8*$B$7))</f>
        <v>34.004662623914093</v>
      </c>
      <c r="J10" s="341">
        <f>FDIST(H10,$B$8-1,I10)</f>
        <v>0.55745304323124856</v>
      </c>
    </row>
    <row r="11" spans="2:10" ht="15.75" x14ac:dyDescent="0.25">
      <c r="D11" s="349">
        <f t="shared" si="0"/>
        <v>0.85000000000000031</v>
      </c>
      <c r="E11" s="339">
        <f>$B$7*D11/($B$8*(1-D11))</f>
        <v>2.8333333333333401</v>
      </c>
      <c r="F11" s="340">
        <f>1+($B$7*($B$8-1)*D11)/($B$8*(1-D11))</f>
        <v>20.833333333333382</v>
      </c>
      <c r="G11" s="340">
        <f>($B$9/$B$8-$B$7)*$D11/(1-$D11)</f>
        <v>17.708333333333375</v>
      </c>
      <c r="H11" s="340">
        <f>$B$6/(E11*$B$4+F11*$B$3+G11*$B$5)</f>
        <v>0.60150673304833358</v>
      </c>
      <c r="I11" s="340">
        <f>(E11*$B$4+F11*$B$3+G11*$B$5)^2/((E11*$B$4)^2/($B$7-1)+(F11*$B$3)^2/(($B$7-1)*($B$8-1))+(G11*$B$5)^2/($B$9-$B$8*$B$7))</f>
        <v>33.799297159241043</v>
      </c>
      <c r="J11" s="341">
        <f>FDIST(H11,$B$8-1,I11)</f>
        <v>0.75014220591011849</v>
      </c>
    </row>
    <row r="12" spans="2:10" ht="15.75" x14ac:dyDescent="0.25">
      <c r="D12" s="349">
        <f t="shared" si="0"/>
        <v>0.90000000000000036</v>
      </c>
      <c r="E12" s="337">
        <f>$B$7*D12/($B$8*(1-D12))</f>
        <v>4.5000000000000178</v>
      </c>
      <c r="F12" s="338">
        <f>1+($B$7*($B$8-1)*D12)/($B$8*(1-D12))</f>
        <v>32.500000000000128</v>
      </c>
      <c r="G12" s="340">
        <f>($B$9/$B$8-$B$7)*$D12/(1-$D12)</f>
        <v>28.12500000000011</v>
      </c>
      <c r="H12" s="340">
        <f>$B$6/(E12*$B$4+F12*$B$3+G12*$B$5)</f>
        <v>0.38104190419384348</v>
      </c>
      <c r="I12" s="340">
        <f>(E12*$B$4+F12*$B$3+G12*$B$5)^2/((E12*$B$4)^2/($B$7-1)+(F12*$B$3)^2/(($B$7-1)*($B$8-1))+(G12*$B$5)^2/($B$9-$B$8*$B$7))</f>
        <v>33.612509102206381</v>
      </c>
      <c r="J12" s="341">
        <f>FDIST(H12,$B$8-1,I12)</f>
        <v>0.90679538851496799</v>
      </c>
    </row>
    <row r="13" spans="2:10" ht="15.75" x14ac:dyDescent="0.25">
      <c r="D13" s="349">
        <f t="shared" si="0"/>
        <v>0.9500000000000004</v>
      </c>
      <c r="E13" s="339">
        <f>$B$7*D13/($B$8*(1-D13))</f>
        <v>9.5000000000000799</v>
      </c>
      <c r="F13" s="340">
        <f>1+($B$7*($B$8-1)*D13)/($B$8*(1-D13))</f>
        <v>67.500000000000568</v>
      </c>
      <c r="G13" s="340">
        <f>($B$9/$B$8-$B$7)*$D13/(1-$D13)</f>
        <v>59.375000000000504</v>
      </c>
      <c r="H13" s="340">
        <f>$B$6/(E13*$B$4+F13*$B$3+G13*$B$5)</f>
        <v>0.18148630105575991</v>
      </c>
      <c r="I13" s="340">
        <f>(E13*$B$4+F13*$B$3+G13*$B$5)^2/((E13*$B$4)^2/($B$7-1)+(F13*$B$3)^2/(($B$7-1)*($B$8-1))+(G13*$B$5)^2/($B$9-$B$8*$B$7))</f>
        <v>33.441988410342589</v>
      </c>
      <c r="J13" s="341">
        <f>FDIST(H13,$B$8-1,I13)</f>
        <v>0.98737525319123143</v>
      </c>
    </row>
    <row r="14" spans="2:10" x14ac:dyDescent="0.25">
      <c r="D14" s="1"/>
      <c r="E14"/>
    </row>
    <row r="15" spans="2:10" x14ac:dyDescent="0.25">
      <c r="D15" s="1"/>
      <c r="E15"/>
    </row>
    <row r="16" spans="2:10" x14ac:dyDescent="0.25">
      <c r="D16" s="1"/>
      <c r="E16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Z47"/>
  <sheetViews>
    <sheetView workbookViewId="0">
      <selection activeCell="M25" sqref="M25"/>
    </sheetView>
  </sheetViews>
  <sheetFormatPr defaultRowHeight="15" x14ac:dyDescent="0.25"/>
  <cols>
    <col min="1" max="1" width="7.28515625" customWidth="1"/>
    <col min="2" max="2" width="10.42578125" customWidth="1"/>
    <col min="3" max="3" width="11.5703125" style="1" customWidth="1"/>
    <col min="4" max="4" width="13.140625" style="1" customWidth="1"/>
    <col min="5" max="5" width="12.85546875" style="1" customWidth="1"/>
    <col min="6" max="6" width="11.5703125" style="1" customWidth="1"/>
    <col min="7" max="7" width="11.7109375" style="1" customWidth="1"/>
    <col min="8" max="8" width="15.42578125" style="1" customWidth="1"/>
    <col min="9" max="9" width="8.5703125" style="1" customWidth="1"/>
    <col min="10" max="10" width="7.42578125" style="1" customWidth="1"/>
    <col min="11" max="11" width="8.5703125" style="1" customWidth="1"/>
    <col min="12" max="12" width="9.85546875" style="1" customWidth="1"/>
    <col min="13" max="13" width="11.85546875" style="1" customWidth="1"/>
    <col min="14" max="14" width="12.5703125" style="1" customWidth="1"/>
    <col min="15" max="15" width="7.42578125" style="1" customWidth="1"/>
    <col min="16" max="16" width="7.5703125" style="1" customWidth="1"/>
    <col min="17" max="17" width="10.42578125" style="1" customWidth="1"/>
    <col min="18" max="18" width="7.7109375" style="1" customWidth="1"/>
    <col min="19" max="20" width="7.5703125" style="1" customWidth="1"/>
    <col min="21" max="21" width="7.42578125" style="1" customWidth="1"/>
    <col min="22" max="22" width="7" style="1" customWidth="1"/>
    <col min="23" max="23" width="10.28515625" style="158" customWidth="1"/>
    <col min="24" max="24" width="7" style="158" customWidth="1"/>
    <col min="25" max="25" width="8.140625" customWidth="1"/>
    <col min="33" max="33" width="6" customWidth="1"/>
  </cols>
  <sheetData>
    <row r="1" spans="2:26" x14ac:dyDescent="0.25">
      <c r="B1" s="161" t="s">
        <v>20</v>
      </c>
      <c r="C1" s="162">
        <f>'Example 5.1'!F1</f>
        <v>0.78768299814505682</v>
      </c>
      <c r="D1" s="163" t="s">
        <v>16</v>
      </c>
      <c r="E1" s="173">
        <f>(M3-G2*M1*K1*W22)/(M3+G2*(M2-M1*K1)*W22)</f>
        <v>0.4591584124457927</v>
      </c>
      <c r="F1" s="153" t="s">
        <v>21</v>
      </c>
      <c r="G1" s="172">
        <f>_xlfn.F.INV((1-G3)/2,K3,M2-M1*K1)</f>
        <v>0.25402250906795815</v>
      </c>
      <c r="H1"/>
      <c r="I1" s="1">
        <f>1/(M1+M2*C1/(K1*(1-C1)))</f>
        <v>3.2858731563074658E-2</v>
      </c>
      <c r="J1"/>
      <c r="K1" s="33">
        <f>COUNT(B25:B32)</f>
        <v>8</v>
      </c>
      <c r="L1"/>
      <c r="M1" s="157">
        <f>COUNTA(C6:F6)</f>
        <v>4</v>
      </c>
    </row>
    <row r="2" spans="2:26" x14ac:dyDescent="0.25">
      <c r="D2" s="163" t="s">
        <v>24</v>
      </c>
      <c r="E2" s="164">
        <f>(M3-G1*M1*K1*W22)/(M3+G1*(M2-M1*K1)*W22)</f>
        <v>0.93640409471859209</v>
      </c>
      <c r="F2" s="153" t="s">
        <v>22</v>
      </c>
      <c r="G2" s="154">
        <f>_xlfn.F.INV(1-(1-G3)/2,K3,M2-M1*K1)</f>
        <v>2.7531059719426976</v>
      </c>
      <c r="H2"/>
      <c r="I2" s="1">
        <f>1/(K1+M2*C1/(M1*(1-C1)))</f>
        <v>1.6429365781537329E-2</v>
      </c>
      <c r="J2"/>
      <c r="K2" s="156">
        <f>AVERAGE(C7:F21)</f>
        <v>283.42105263157896</v>
      </c>
      <c r="L2" s="80" t="s">
        <v>19</v>
      </c>
      <c r="M2" s="157">
        <f>G33</f>
        <v>57</v>
      </c>
      <c r="N2" s="20"/>
      <c r="Q2" s="16"/>
    </row>
    <row r="3" spans="2:26" x14ac:dyDescent="0.25">
      <c r="F3" s="158" t="s">
        <v>23</v>
      </c>
      <c r="G3" s="1">
        <v>0.95</v>
      </c>
      <c r="H3"/>
      <c r="I3" s="1">
        <f>(M1*K1-K1-M1)/(M1*K1+M2*C1/(1-C1))</f>
        <v>8.2146828907686639E-2</v>
      </c>
      <c r="J3"/>
      <c r="K3" s="1">
        <f>(I1*N15+I2*N16+I3*Q15)^2/((I1*N15)^2/(K1-1)+(I2*N16)^2/(M1-1)+(I3*Q15)^2/((M1-1)*(K1-1)))</f>
        <v>8.8886289930081688</v>
      </c>
      <c r="L3" s="1" t="s">
        <v>25</v>
      </c>
      <c r="M3" s="92">
        <f>K1*N15+M1*N16+(M1*K1-K1-M1)*Q15</f>
        <v>106088.82305097935</v>
      </c>
    </row>
    <row r="4" spans="2:26" x14ac:dyDescent="0.25">
      <c r="N4" s="143"/>
      <c r="O4" s="128"/>
      <c r="P4" s="95"/>
      <c r="Q4" s="142"/>
    </row>
    <row r="5" spans="2:26" ht="18" customHeight="1" thickBot="1" x14ac:dyDescent="0.3">
      <c r="C5" s="332"/>
      <c r="D5" s="332"/>
      <c r="E5" s="332"/>
      <c r="F5" s="332"/>
      <c r="N5" s="99"/>
      <c r="O5" s="99"/>
      <c r="P5" s="95"/>
      <c r="Q5" s="142"/>
      <c r="X5"/>
    </row>
    <row r="6" spans="2:26" ht="21" customHeight="1" x14ac:dyDescent="0.25">
      <c r="B6" s="209" t="s">
        <v>0</v>
      </c>
      <c r="C6" s="210" t="s">
        <v>1</v>
      </c>
      <c r="D6" s="210" t="s">
        <v>2</v>
      </c>
      <c r="E6" s="210" t="s">
        <v>3</v>
      </c>
      <c r="F6" s="211" t="s">
        <v>4</v>
      </c>
      <c r="G6" s="201"/>
      <c r="H6" s="87" t="s">
        <v>0</v>
      </c>
      <c r="I6" s="57" t="s">
        <v>1</v>
      </c>
      <c r="J6" s="57" t="s">
        <v>2</v>
      </c>
      <c r="K6" s="57" t="s">
        <v>3</v>
      </c>
      <c r="L6" s="88" t="s">
        <v>4</v>
      </c>
      <c r="M6" s="29"/>
      <c r="N6" s="133"/>
      <c r="O6" s="99"/>
      <c r="P6" s="87" t="s">
        <v>0</v>
      </c>
      <c r="Q6" s="57" t="s">
        <v>1</v>
      </c>
      <c r="R6" s="57" t="s">
        <v>2</v>
      </c>
      <c r="S6" s="57" t="s">
        <v>3</v>
      </c>
      <c r="T6" s="88" t="s">
        <v>4</v>
      </c>
      <c r="U6" s="56"/>
      <c r="V6" s="41" t="s">
        <v>0</v>
      </c>
      <c r="W6" s="8" t="s">
        <v>1</v>
      </c>
      <c r="X6" s="8" t="s">
        <v>2</v>
      </c>
      <c r="Y6" s="8" t="s">
        <v>3</v>
      </c>
      <c r="Z6" s="11" t="s">
        <v>4</v>
      </c>
    </row>
    <row r="7" spans="2:26" x14ac:dyDescent="0.25">
      <c r="B7" s="203">
        <v>1</v>
      </c>
      <c r="C7" s="23">
        <v>190</v>
      </c>
      <c r="D7" s="23">
        <v>220</v>
      </c>
      <c r="E7" s="23">
        <v>200</v>
      </c>
      <c r="F7" s="204">
        <v>200</v>
      </c>
      <c r="G7" s="202"/>
      <c r="H7" s="71">
        <v>1</v>
      </c>
      <c r="I7" s="21">
        <f>AVERAGE(C7:C8)</f>
        <v>205</v>
      </c>
      <c r="J7" s="21">
        <f>AVERAGE(D7:D8)</f>
        <v>210</v>
      </c>
      <c r="K7" s="21">
        <f>AVERAGE(E7:E8)</f>
        <v>220</v>
      </c>
      <c r="L7" s="76">
        <f>AVERAGE(F7:F8)</f>
        <v>215</v>
      </c>
      <c r="M7" s="20">
        <f>AVERAGE(C7:F8)</f>
        <v>212.5</v>
      </c>
      <c r="N7" s="138">
        <f t="shared" ref="N7:N14" si="0">G25*(M7-$K$2)^2</f>
        <v>40238.365650969543</v>
      </c>
      <c r="O7" s="144"/>
      <c r="P7" s="71">
        <v>1</v>
      </c>
      <c r="Q7" s="25">
        <f t="shared" ref="Q7:T14" si="1">C25*(I7-$M7-I$15+$K$2)^2</f>
        <v>34.202046469557686</v>
      </c>
      <c r="R7" s="25">
        <f t="shared" si="1"/>
        <v>11.04146644807534</v>
      </c>
      <c r="S7" s="25">
        <f t="shared" si="1"/>
        <v>25.743459526008447</v>
      </c>
      <c r="T7" s="79">
        <f t="shared" si="1"/>
        <v>191.81482842444441</v>
      </c>
      <c r="V7" s="42">
        <v>1</v>
      </c>
      <c r="W7" s="138">
        <f>(C7-I$7)^2</f>
        <v>225</v>
      </c>
      <c r="X7" s="23">
        <f>(D7-J$7)^2</f>
        <v>100</v>
      </c>
      <c r="Y7" s="23">
        <f t="shared" ref="Y7:Z8" si="2">(E7-K$7)^2</f>
        <v>400</v>
      </c>
      <c r="Z7" s="7">
        <f t="shared" si="2"/>
        <v>225</v>
      </c>
    </row>
    <row r="8" spans="2:26" x14ac:dyDescent="0.25">
      <c r="B8" s="203">
        <v>1</v>
      </c>
      <c r="C8" s="23">
        <v>220</v>
      </c>
      <c r="D8" s="23">
        <v>200</v>
      </c>
      <c r="E8" s="23">
        <v>240</v>
      </c>
      <c r="F8" s="204">
        <v>230</v>
      </c>
      <c r="G8" s="202"/>
      <c r="H8" s="72">
        <v>2</v>
      </c>
      <c r="I8" s="23">
        <f>AVERAGE(C9:C10)</f>
        <v>235</v>
      </c>
      <c r="J8" s="23">
        <f>AVERAGE(D9:D10)</f>
        <v>280</v>
      </c>
      <c r="K8" s="23">
        <f>AVERAGE(E9:E10)</f>
        <v>260</v>
      </c>
      <c r="L8" s="7">
        <f>AVERAGE(F9:F10)</f>
        <v>272.5</v>
      </c>
      <c r="M8" s="20">
        <f>AVERAGE(C9:F10)</f>
        <v>261.875</v>
      </c>
      <c r="N8" s="138">
        <f t="shared" si="0"/>
        <v>3713.8590720221646</v>
      </c>
      <c r="O8" s="144"/>
      <c r="P8" s="72">
        <v>2</v>
      </c>
      <c r="Q8" s="25">
        <f t="shared" si="1"/>
        <v>464.49457466504487</v>
      </c>
      <c r="R8" s="25">
        <f t="shared" si="1"/>
        <v>1055.6667014104837</v>
      </c>
      <c r="S8" s="25">
        <f t="shared" si="1"/>
        <v>66.985235841796765</v>
      </c>
      <c r="T8" s="26">
        <f t="shared" si="1"/>
        <v>5.5660032364746197</v>
      </c>
      <c r="V8" s="42">
        <v>1</v>
      </c>
      <c r="W8" s="138">
        <f>(C8-I$7)^2</f>
        <v>225</v>
      </c>
      <c r="X8" s="23">
        <f>(D8-J$7)^2</f>
        <v>100</v>
      </c>
      <c r="Y8" s="23">
        <f t="shared" si="2"/>
        <v>400</v>
      </c>
      <c r="Z8" s="7">
        <f t="shared" si="2"/>
        <v>225</v>
      </c>
    </row>
    <row r="9" spans="2:26" x14ac:dyDescent="0.25">
      <c r="B9" s="187">
        <v>2</v>
      </c>
      <c r="C9" s="66">
        <v>260</v>
      </c>
      <c r="D9" s="66">
        <v>260</v>
      </c>
      <c r="E9" s="66">
        <v>240</v>
      </c>
      <c r="F9" s="205">
        <v>280</v>
      </c>
      <c r="G9" s="202"/>
      <c r="H9" s="72">
        <v>3</v>
      </c>
      <c r="I9" s="23">
        <f>AVERAGE(C11:C13)</f>
        <v>270</v>
      </c>
      <c r="J9" s="23">
        <f>AVERAGE(D11:D13)</f>
        <v>272.5</v>
      </c>
      <c r="K9" s="23">
        <f>AVERAGE(E11:E13)</f>
        <v>276.66666666666669</v>
      </c>
      <c r="L9" s="7">
        <f>AVERAGE(F11:F13)</f>
        <v>281.66666666666669</v>
      </c>
      <c r="M9" s="20">
        <f>AVERAGE(C11:F13)</f>
        <v>275.45454545454544</v>
      </c>
      <c r="N9" s="138">
        <f t="shared" si="0"/>
        <v>698.11760261899246</v>
      </c>
      <c r="O9" s="144"/>
      <c r="P9" s="72">
        <v>3</v>
      </c>
      <c r="Q9" s="25">
        <f t="shared" si="1"/>
        <v>114.60660229614746</v>
      </c>
      <c r="R9" s="25">
        <f t="shared" si="1"/>
        <v>7.1826458428433178</v>
      </c>
      <c r="S9" s="25">
        <f t="shared" si="1"/>
        <v>21.872583808367185</v>
      </c>
      <c r="T9" s="26">
        <f t="shared" si="1"/>
        <v>110.93976474772825</v>
      </c>
      <c r="V9" s="65">
        <v>2</v>
      </c>
      <c r="W9" s="149">
        <f>(C9-I$8)^2</f>
        <v>625</v>
      </c>
      <c r="X9" s="66">
        <f>(D9-J$8)^2</f>
        <v>400</v>
      </c>
      <c r="Y9" s="66">
        <f t="shared" ref="Y9:Z10" si="3">(E9-K$8)^2</f>
        <v>400</v>
      </c>
      <c r="Z9" s="67">
        <f t="shared" si="3"/>
        <v>56.25</v>
      </c>
    </row>
    <row r="10" spans="2:26" x14ac:dyDescent="0.25">
      <c r="B10" s="187">
        <v>2</v>
      </c>
      <c r="C10" s="66">
        <v>210</v>
      </c>
      <c r="D10" s="66">
        <v>300</v>
      </c>
      <c r="E10" s="66">
        <v>280</v>
      </c>
      <c r="F10" s="205">
        <v>265</v>
      </c>
      <c r="G10" s="202"/>
      <c r="H10" s="72">
        <v>4</v>
      </c>
      <c r="I10" s="23">
        <f>AVERAGE(C14)</f>
        <v>275</v>
      </c>
      <c r="J10" s="23">
        <f>AVERAGE(D14)</f>
        <v>275</v>
      </c>
      <c r="K10" s="23">
        <f>AVERAGE(E14)</f>
        <v>275</v>
      </c>
      <c r="L10" s="7"/>
      <c r="M10" s="20">
        <f>AVERAGE(C14:F14)</f>
        <v>275</v>
      </c>
      <c r="N10" s="138">
        <f t="shared" si="0"/>
        <v>212.74238227146876</v>
      </c>
      <c r="O10" s="144"/>
      <c r="P10" s="72">
        <v>4</v>
      </c>
      <c r="Q10" s="25">
        <f t="shared" si="1"/>
        <v>135.38109842274906</v>
      </c>
      <c r="R10" s="25">
        <f t="shared" si="1"/>
        <v>23.518853524789691</v>
      </c>
      <c r="S10" s="25">
        <f t="shared" si="1"/>
        <v>15.305940289319549</v>
      </c>
      <c r="T10" s="26">
        <f t="shared" si="1"/>
        <v>0</v>
      </c>
      <c r="V10" s="65">
        <v>2</v>
      </c>
      <c r="W10" s="149">
        <f>(C10-I$8)^2</f>
        <v>625</v>
      </c>
      <c r="X10" s="66">
        <f>(D10-J$8)^2</f>
        <v>400</v>
      </c>
      <c r="Y10" s="66">
        <f t="shared" si="3"/>
        <v>400</v>
      </c>
      <c r="Z10" s="67">
        <f t="shared" si="3"/>
        <v>56.25</v>
      </c>
    </row>
    <row r="11" spans="2:26" x14ac:dyDescent="0.25">
      <c r="B11" s="203">
        <v>3</v>
      </c>
      <c r="C11" s="23">
        <v>270</v>
      </c>
      <c r="D11" s="23">
        <v>265</v>
      </c>
      <c r="E11" s="23">
        <v>280</v>
      </c>
      <c r="F11" s="204">
        <v>270</v>
      </c>
      <c r="G11" s="202"/>
      <c r="H11" s="72">
        <v>5</v>
      </c>
      <c r="I11" s="23">
        <f>AVERAGE(C15:C16)</f>
        <v>300</v>
      </c>
      <c r="J11" s="23">
        <f>AVERAGE(D15:D16)</f>
        <v>290</v>
      </c>
      <c r="K11" s="23">
        <f>AVERAGE(E15:E16)</f>
        <v>300</v>
      </c>
      <c r="L11" s="7">
        <f>AVERAGE(F15:F16)</f>
        <v>290</v>
      </c>
      <c r="M11" s="20">
        <f>AVERAGE(C15:F16)</f>
        <v>295</v>
      </c>
      <c r="N11" s="138">
        <f t="shared" si="0"/>
        <v>1072.5761772853164</v>
      </c>
      <c r="O11" s="144"/>
      <c r="P11" s="72">
        <v>5</v>
      </c>
      <c r="Q11" s="25">
        <f t="shared" si="1"/>
        <v>553.46896376279176</v>
      </c>
      <c r="R11" s="25">
        <f t="shared" si="1"/>
        <v>4.5225846571298536E-2</v>
      </c>
      <c r="S11" s="25">
        <f t="shared" si="1"/>
        <v>2.3662665435519967</v>
      </c>
      <c r="T11" s="26">
        <f t="shared" si="1"/>
        <v>598.11182090564728</v>
      </c>
      <c r="V11" s="42">
        <v>3</v>
      </c>
      <c r="W11" s="138">
        <f>(C11-I$9)^2</f>
        <v>0</v>
      </c>
      <c r="X11" s="23">
        <f>(D11-J$9)^2</f>
        <v>56.25</v>
      </c>
      <c r="Y11" s="23">
        <f t="shared" ref="Y11:Z13" si="4">(E11-K$9)^2</f>
        <v>11.111111111110985</v>
      </c>
      <c r="Z11" s="7">
        <f t="shared" si="4"/>
        <v>136.11111111111154</v>
      </c>
    </row>
    <row r="12" spans="2:26" x14ac:dyDescent="0.25">
      <c r="B12" s="203">
        <v>3</v>
      </c>
      <c r="C12" s="23">
        <v>280</v>
      </c>
      <c r="D12" s="23">
        <v>280</v>
      </c>
      <c r="E12" s="23">
        <v>270</v>
      </c>
      <c r="F12" s="204">
        <v>275</v>
      </c>
      <c r="G12" s="202"/>
      <c r="H12" s="72">
        <v>6</v>
      </c>
      <c r="I12" s="23">
        <f>AVERAGE(C17:C18)</f>
        <v>285</v>
      </c>
      <c r="J12" s="23">
        <f>AVERAGE(D17:D18)</f>
        <v>275</v>
      </c>
      <c r="K12" s="23">
        <f>AVERAGE(E17:E18)</f>
        <v>320</v>
      </c>
      <c r="L12" s="7">
        <f>AVERAGE(F17:F18)</f>
        <v>335</v>
      </c>
      <c r="M12" s="20">
        <f>AVERAGE(C17:F18)</f>
        <v>303.75</v>
      </c>
      <c r="N12" s="138">
        <f t="shared" si="0"/>
        <v>3306.1288088642618</v>
      </c>
      <c r="O12" s="20"/>
      <c r="P12" s="72">
        <v>6</v>
      </c>
      <c r="Q12" s="25">
        <f t="shared" si="1"/>
        <v>101.23682090564701</v>
      </c>
      <c r="R12" s="25">
        <f t="shared" si="1"/>
        <v>1142.4559401322829</v>
      </c>
      <c r="S12" s="25">
        <f t="shared" si="1"/>
        <v>304.43863496460602</v>
      </c>
      <c r="T12" s="26">
        <f t="shared" si="1"/>
        <v>718.71802391316669</v>
      </c>
      <c r="V12" s="42">
        <v>3</v>
      </c>
      <c r="W12" s="138">
        <f t="shared" ref="W12:X13" si="5">(C12-I$9)^2</f>
        <v>100</v>
      </c>
      <c r="X12" s="23">
        <f t="shared" si="5"/>
        <v>56.25</v>
      </c>
      <c r="Y12" s="23">
        <f t="shared" si="4"/>
        <v>44.444444444444699</v>
      </c>
      <c r="Z12" s="7">
        <f t="shared" si="4"/>
        <v>44.444444444444699</v>
      </c>
    </row>
    <row r="13" spans="2:26" x14ac:dyDescent="0.25">
      <c r="B13" s="203">
        <v>3</v>
      </c>
      <c r="C13" s="23">
        <v>260</v>
      </c>
      <c r="D13" s="74"/>
      <c r="E13" s="23">
        <v>280</v>
      </c>
      <c r="F13" s="204">
        <v>300</v>
      </c>
      <c r="G13" s="202"/>
      <c r="H13" s="72">
        <v>7</v>
      </c>
      <c r="I13" s="23">
        <f>AVERAGE(C19:C20)</f>
        <v>320</v>
      </c>
      <c r="J13" s="23">
        <f>AVERAGE(D19:D20)</f>
        <v>325</v>
      </c>
      <c r="K13" s="23">
        <f>AVERAGE(E19:E20)</f>
        <v>332.5</v>
      </c>
      <c r="L13" s="7">
        <f>AVERAGE(F19:F20)</f>
        <v>352.5</v>
      </c>
      <c r="M13" s="20">
        <f>AVERAGE(C19:F20)</f>
        <v>334.28571428571428</v>
      </c>
      <c r="N13" s="138">
        <f t="shared" si="0"/>
        <v>18110.496636327647</v>
      </c>
      <c r="P13" s="72">
        <v>7</v>
      </c>
      <c r="Q13" s="25">
        <f t="shared" si="1"/>
        <v>7.0244926225336286</v>
      </c>
      <c r="R13" s="25">
        <f t="shared" si="1"/>
        <v>39.357792978686675</v>
      </c>
      <c r="S13" s="25">
        <f t="shared" si="1"/>
        <v>64.93429375443533</v>
      </c>
      <c r="T13" s="26">
        <f t="shared" si="1"/>
        <v>70.117728531856244</v>
      </c>
      <c r="V13" s="42">
        <v>3</v>
      </c>
      <c r="W13" s="138">
        <f t="shared" si="5"/>
        <v>100</v>
      </c>
      <c r="X13" s="74"/>
      <c r="Y13" s="23">
        <f t="shared" si="4"/>
        <v>11.111111111110985</v>
      </c>
      <c r="Z13" s="7">
        <f t="shared" si="4"/>
        <v>336.1111111111104</v>
      </c>
    </row>
    <row r="14" spans="2:26" x14ac:dyDescent="0.25">
      <c r="B14" s="187">
        <v>4</v>
      </c>
      <c r="C14" s="66">
        <v>275</v>
      </c>
      <c r="D14" s="66">
        <v>275</v>
      </c>
      <c r="E14" s="66">
        <v>275</v>
      </c>
      <c r="F14" s="206"/>
      <c r="G14" s="202"/>
      <c r="H14" s="75">
        <v>8</v>
      </c>
      <c r="I14" s="155">
        <f>AVERAGE(C21)</f>
        <v>350</v>
      </c>
      <c r="J14" s="155">
        <f>AVERAGE(D21)</f>
        <v>320</v>
      </c>
      <c r="K14" s="155">
        <f>AVERAGE(E21)</f>
        <v>340</v>
      </c>
      <c r="L14" s="10">
        <f>AVERAGE(F21)</f>
        <v>365</v>
      </c>
      <c r="M14" s="40">
        <f>AVERAGE(C21:F21)</f>
        <v>343.75</v>
      </c>
      <c r="N14" s="37">
        <f t="shared" si="0"/>
        <v>14558.327562326864</v>
      </c>
      <c r="P14" s="75">
        <v>8</v>
      </c>
      <c r="Q14" s="40">
        <f t="shared" si="1"/>
        <v>319.88532774605761</v>
      </c>
      <c r="R14" s="27">
        <f t="shared" si="1"/>
        <v>357.22421066764548</v>
      </c>
      <c r="S14" s="27">
        <f t="shared" si="1"/>
        <v>58.710545552477214</v>
      </c>
      <c r="T14" s="28">
        <f t="shared" si="1"/>
        <v>80.223673610718592</v>
      </c>
      <c r="V14" s="65">
        <v>4</v>
      </c>
      <c r="W14" s="149">
        <f>(C14-I$10)^2</f>
        <v>0</v>
      </c>
      <c r="X14" s="66">
        <f>(D14-J$10)^2</f>
        <v>0</v>
      </c>
      <c r="Y14" s="66">
        <f t="shared" ref="Y14" si="6">(E14-K$10)^2</f>
        <v>0</v>
      </c>
      <c r="Z14" s="73"/>
    </row>
    <row r="15" spans="2:26" ht="18" customHeight="1" x14ac:dyDescent="0.25">
      <c r="B15" s="203">
        <v>5</v>
      </c>
      <c r="C15" s="23">
        <v>280</v>
      </c>
      <c r="D15" s="23">
        <v>290</v>
      </c>
      <c r="E15" s="23">
        <v>300</v>
      </c>
      <c r="F15" s="204">
        <v>290</v>
      </c>
      <c r="G15" s="202"/>
      <c r="H15" s="81"/>
      <c r="I15" s="20">
        <f>AVERAGE(C7:C21)</f>
        <v>271.78571428571428</v>
      </c>
      <c r="J15" s="20">
        <f>AVERAGE(D7:D21)</f>
        <v>278.57142857142856</v>
      </c>
      <c r="K15" s="20">
        <f>AVERAGE(E7:E21)</f>
        <v>287.33333333333331</v>
      </c>
      <c r="L15" s="79">
        <f>AVERAGE(F7:F21)</f>
        <v>295.71428571428572</v>
      </c>
      <c r="M15" s="140"/>
      <c r="N15" s="141">
        <f>SUM(N7:N14)/(K1-1)</f>
        <v>11701.516270383752</v>
      </c>
      <c r="O15" s="20"/>
      <c r="P15" s="140"/>
      <c r="Q15" s="146">
        <f>SUM(Q7:T14)/((M1-1)*(K1-1))</f>
        <v>319.1734079710717</v>
      </c>
      <c r="V15" s="42">
        <v>5</v>
      </c>
      <c r="W15" s="138">
        <f>(C15-I$11)^2</f>
        <v>400</v>
      </c>
      <c r="X15" s="23">
        <f>(D15-J$11)^2</f>
        <v>0</v>
      </c>
      <c r="Y15" s="23">
        <f t="shared" ref="Y15:Z16" si="7">(E15-K$11)^2</f>
        <v>0</v>
      </c>
      <c r="Z15" s="7">
        <f t="shared" si="7"/>
        <v>0</v>
      </c>
    </row>
    <row r="16" spans="2:26" ht="18.75" customHeight="1" x14ac:dyDescent="0.25">
      <c r="B16" s="203">
        <v>5</v>
      </c>
      <c r="C16" s="23">
        <v>320</v>
      </c>
      <c r="D16" s="23">
        <v>290</v>
      </c>
      <c r="E16" s="23">
        <v>300</v>
      </c>
      <c r="F16" s="204">
        <v>290</v>
      </c>
      <c r="G16" s="202"/>
      <c r="H16" s="5"/>
      <c r="I16" s="139">
        <f>C33*(I15-$K$2)^2</f>
        <v>1895.3353779184868</v>
      </c>
      <c r="J16" s="139">
        <f>D33*(J15-$K$2)^2</f>
        <v>329.2639493470557</v>
      </c>
      <c r="K16" s="139">
        <f>E33*(K15-$K$2)^2</f>
        <v>229.58910433979324</v>
      </c>
      <c r="L16" s="165">
        <f>F33*(L15-$K$2)^2</f>
        <v>2115.7301147605845</v>
      </c>
      <c r="M16" s="140"/>
      <c r="N16" s="174">
        <f>SUM(I16:L16)/(M1-1)</f>
        <v>1523.3061821219733</v>
      </c>
      <c r="O16" s="20"/>
      <c r="P16"/>
      <c r="Q16" s="25"/>
      <c r="R16" s="25"/>
      <c r="S16" s="25"/>
      <c r="T16" s="25"/>
      <c r="U16" s="23"/>
      <c r="V16" s="42">
        <v>5</v>
      </c>
      <c r="W16" s="138">
        <f>(C16-I$11)^2</f>
        <v>400</v>
      </c>
      <c r="X16" s="23">
        <f>(D16-J$11)^2</f>
        <v>0</v>
      </c>
      <c r="Y16" s="23">
        <f t="shared" si="7"/>
        <v>0</v>
      </c>
      <c r="Z16" s="7">
        <f t="shared" si="7"/>
        <v>0</v>
      </c>
    </row>
    <row r="17" spans="2:26" x14ac:dyDescent="0.25">
      <c r="B17" s="187">
        <v>6</v>
      </c>
      <c r="C17" s="66">
        <v>300</v>
      </c>
      <c r="D17" s="66">
        <v>300</v>
      </c>
      <c r="E17" s="66">
        <v>310</v>
      </c>
      <c r="F17" s="205">
        <v>300</v>
      </c>
      <c r="G17" s="202"/>
      <c r="H17" s="18"/>
      <c r="I17" s="25"/>
      <c r="J17" s="25"/>
      <c r="K17" s="25"/>
      <c r="L17" s="25"/>
      <c r="O17" s="20"/>
      <c r="P17" s="18"/>
      <c r="Q17" s="25"/>
      <c r="R17" s="25"/>
      <c r="S17" s="25"/>
      <c r="T17" s="25"/>
      <c r="U17" s="23"/>
      <c r="V17" s="65">
        <v>6</v>
      </c>
      <c r="W17" s="149">
        <f>(C17-I$12)^2</f>
        <v>225</v>
      </c>
      <c r="X17" s="66">
        <f>(D17-J$12)^2</f>
        <v>625</v>
      </c>
      <c r="Y17" s="66">
        <f t="shared" ref="Y17:Z18" si="8">(E17-K$12)^2</f>
        <v>100</v>
      </c>
      <c r="Z17" s="67">
        <f t="shared" si="8"/>
        <v>1225</v>
      </c>
    </row>
    <row r="18" spans="2:26" ht="15.75" thickBot="1" x14ac:dyDescent="0.3">
      <c r="B18" s="187">
        <v>6</v>
      </c>
      <c r="C18" s="66">
        <v>270</v>
      </c>
      <c r="D18" s="66">
        <v>250</v>
      </c>
      <c r="E18" s="66">
        <v>330</v>
      </c>
      <c r="F18" s="205">
        <v>370</v>
      </c>
      <c r="G18" s="202"/>
      <c r="H18" s="18"/>
      <c r="I18" s="167"/>
      <c r="J18" s="25"/>
      <c r="K18" s="25"/>
      <c r="L18" s="25"/>
      <c r="O18" s="20"/>
      <c r="P18" s="18"/>
      <c r="Q18" s="25"/>
      <c r="R18" s="25"/>
      <c r="S18" s="25"/>
      <c r="T18" s="25"/>
      <c r="U18" s="23"/>
      <c r="V18" s="65">
        <v>6</v>
      </c>
      <c r="W18" s="149">
        <f>(C18-I$12)^2</f>
        <v>225</v>
      </c>
      <c r="X18" s="66">
        <f>(D18-J$12)^2</f>
        <v>625</v>
      </c>
      <c r="Y18" s="66">
        <f t="shared" si="8"/>
        <v>100</v>
      </c>
      <c r="Z18" s="67">
        <f t="shared" si="8"/>
        <v>1225</v>
      </c>
    </row>
    <row r="19" spans="2:26" ht="16.5" thickBot="1" x14ac:dyDescent="0.3">
      <c r="B19" s="203">
        <v>7</v>
      </c>
      <c r="C19" s="23">
        <v>320</v>
      </c>
      <c r="D19" s="23">
        <v>330</v>
      </c>
      <c r="E19" s="23">
        <v>330</v>
      </c>
      <c r="F19" s="204">
        <v>330</v>
      </c>
      <c r="G19" s="202"/>
      <c r="H19" s="18"/>
      <c r="I19" s="353"/>
      <c r="J19" s="354"/>
      <c r="K19" s="355"/>
      <c r="L19" s="356" t="s">
        <v>28</v>
      </c>
      <c r="M19" s="355"/>
      <c r="N19" s="355"/>
      <c r="O19" s="357"/>
      <c r="P19" s="18"/>
      <c r="Q19" s="25"/>
      <c r="R19" s="25"/>
      <c r="S19" s="25"/>
      <c r="T19" s="25"/>
      <c r="U19" s="23"/>
      <c r="V19" s="42">
        <v>7</v>
      </c>
      <c r="W19" s="138">
        <f>(C19-I$13)^2</f>
        <v>0</v>
      </c>
      <c r="X19" s="23">
        <f>(D19-J$13)^2</f>
        <v>25</v>
      </c>
      <c r="Y19" s="23">
        <f t="shared" ref="Y19:Z20" si="9">(E19-K$13)^2</f>
        <v>6.25</v>
      </c>
      <c r="Z19" s="7">
        <f t="shared" si="9"/>
        <v>506.25</v>
      </c>
    </row>
    <row r="20" spans="2:26" ht="15.75" thickBot="1" x14ac:dyDescent="0.3">
      <c r="B20" s="203">
        <v>7</v>
      </c>
      <c r="C20" s="74"/>
      <c r="D20" s="23">
        <v>320</v>
      </c>
      <c r="E20" s="23">
        <v>335</v>
      </c>
      <c r="F20" s="204">
        <v>375</v>
      </c>
      <c r="G20" s="202"/>
      <c r="H20" s="18"/>
      <c r="I20" s="358"/>
      <c r="J20" s="359"/>
      <c r="K20" s="359"/>
      <c r="L20" s="360"/>
      <c r="M20" s="359"/>
      <c r="N20" s="359"/>
      <c r="O20" s="361" t="s">
        <v>18</v>
      </c>
      <c r="P20" s="18"/>
      <c r="Q20" s="25"/>
      <c r="R20" s="25"/>
      <c r="S20" s="25"/>
      <c r="T20" s="25"/>
      <c r="U20" s="23"/>
      <c r="V20" s="42">
        <v>7</v>
      </c>
      <c r="W20" s="150"/>
      <c r="X20" s="23">
        <f>(D20-J$13)^2</f>
        <v>25</v>
      </c>
      <c r="Y20" s="23">
        <f t="shared" si="9"/>
        <v>6.25</v>
      </c>
      <c r="Z20" s="7">
        <f t="shared" si="9"/>
        <v>506.25</v>
      </c>
    </row>
    <row r="21" spans="2:26" ht="15.75" thickBot="1" x14ac:dyDescent="0.3">
      <c r="B21" s="189">
        <v>8</v>
      </c>
      <c r="C21" s="207">
        <v>350</v>
      </c>
      <c r="D21" s="207">
        <v>320</v>
      </c>
      <c r="E21" s="207">
        <v>340</v>
      </c>
      <c r="F21" s="208">
        <v>365</v>
      </c>
      <c r="G21" s="202"/>
      <c r="H21" s="18"/>
      <c r="I21" s="362">
        <v>0.25</v>
      </c>
      <c r="J21" s="212">
        <f>1/($M$1+$M$2*$I21/($K$1*(1-$I21)))</f>
        <v>0.15686274509803921</v>
      </c>
      <c r="K21" s="212">
        <f>1/($K$1+$M$2*$I21/($M$1*(1-$I21)))</f>
        <v>7.8431372549019607E-2</v>
      </c>
      <c r="L21" s="212">
        <f>($M$1*$K$1-$M$1-$K$1)/($M$1*$K$1+$M$2*$I21/(1-$I21))</f>
        <v>0.39215686274509803</v>
      </c>
      <c r="M21" s="212">
        <f>(J21*$N$15+K21*$N$16+L21*$Q$15)/$W$22</f>
        <v>4.3397211425582656</v>
      </c>
      <c r="N21" s="212">
        <f>(J21*$N$15+K21*$N$16+L21*$Q$15)^2/((J21*$N$15)^2/($K$1-1)+(K21*$N$16)^2/($M$1-1)+(L21*$Q$15)^2/(($M$1-1)*($K$1-1)))</f>
        <v>8.888628993008167</v>
      </c>
      <c r="O21" s="213">
        <f>1-_xlfn.F.DIST(M21,N21,$M$2-$M$1*$K$1,TRUE)</f>
        <v>2.1919498404572302E-3</v>
      </c>
      <c r="P21" s="201"/>
      <c r="Q21" s="25"/>
      <c r="R21" s="25"/>
      <c r="S21" s="25"/>
      <c r="T21" s="25"/>
      <c r="U21" s="23"/>
      <c r="V21" s="68">
        <v>8</v>
      </c>
      <c r="W21" s="151">
        <f>(C21-I$14)^2</f>
        <v>0</v>
      </c>
      <c r="X21" s="69">
        <f>(D21-J$14)^2</f>
        <v>0</v>
      </c>
      <c r="Y21" s="69">
        <f t="shared" ref="Y21:Z21" si="10">(E21-K$14)^2</f>
        <v>0</v>
      </c>
      <c r="Z21" s="70">
        <f t="shared" si="10"/>
        <v>0</v>
      </c>
    </row>
    <row r="22" spans="2:26" ht="18" customHeight="1" x14ac:dyDescent="0.25">
      <c r="B22" s="18"/>
      <c r="C22" s="25"/>
      <c r="D22" s="25"/>
      <c r="E22" s="25"/>
      <c r="F22" s="25"/>
      <c r="H22" s="23"/>
      <c r="I22" s="363">
        <f>I21+0.05</f>
        <v>0.3</v>
      </c>
      <c r="J22" s="214">
        <f>1/($M$1+$M$2*$I22/($K$1*(1-$I22)))</f>
        <v>0.14177215189873418</v>
      </c>
      <c r="K22" s="214">
        <f>1/($K$1+$M$2*$I22/($M$1*(1-$I22)))</f>
        <v>7.0886075949367092E-2</v>
      </c>
      <c r="L22" s="214">
        <f>($M$1*$K$1-$M$1-$K$1)/($M$1*$K$1+$M$2*$I22/(1-$I22))</f>
        <v>0.35443037974683544</v>
      </c>
      <c r="M22" s="214">
        <f>(J22*$N$15+K22*$N$16+L22*$Q$15)/$W$22</f>
        <v>3.9222289820083565</v>
      </c>
      <c r="N22" s="214">
        <f>(J22*$N$15+K22*$N$16+L22*$Q$15)^2/((J22*$N$15)^2/($K$1-1)+(K22*$N$16)^2/($M$1-1)+(L22*$Q$15)^2/(($M$1-1)*($K$1-1)))</f>
        <v>8.8886289930081688</v>
      </c>
      <c r="O22" s="215">
        <f t="shared" ref="O22:O30" si="11">1-_xlfn.F.DIST(M22,N22,$M$2-$M$1*$K$1,TRUE)</f>
        <v>4.0188417608019167E-3</v>
      </c>
      <c r="P22" s="201"/>
      <c r="Q22" s="23"/>
      <c r="R22" s="23"/>
      <c r="S22" s="23"/>
      <c r="T22" s="23"/>
      <c r="U22" s="23"/>
      <c r="V22" s="152"/>
      <c r="W22" s="166">
        <f>SUM(W7:Z21)/(M2-M1*K1)</f>
        <v>479.33333333333326</v>
      </c>
    </row>
    <row r="23" spans="2:26" x14ac:dyDescent="0.25">
      <c r="D23" s="155"/>
      <c r="I23" s="363">
        <f t="shared" ref="I23:I30" si="12">I22+0.05</f>
        <v>0.35</v>
      </c>
      <c r="J23" s="214">
        <f>1/($M$1+$M$2*$I23/($K$1*(1-$I23)))</f>
        <v>0.12760736196319017</v>
      </c>
      <c r="K23" s="214">
        <f>1/($K$1+$M$2*$I23/($M$1*(1-$I23)))</f>
        <v>6.3803680981595084E-2</v>
      </c>
      <c r="L23" s="214">
        <f>($M$1*$K$1-$M$1-$K$1)/($M$1*$K$1+$M$2*$I23/(1-$I23))</f>
        <v>0.31901840490797545</v>
      </c>
      <c r="M23" s="214">
        <f>(J23*$N$15+K23*$N$16+L23*$Q$15)/$W$22</f>
        <v>3.5303498374431039</v>
      </c>
      <c r="N23" s="214">
        <f>(J23*$N$15+K23*$N$16+L23*$Q$15)^2/((J23*$N$15)^2/($K$1-1)+(K23*$N$16)^2/($M$1-1)+(L23*$Q$15)^2/(($M$1-1)*($K$1-1)))</f>
        <v>8.8886289930081688</v>
      </c>
      <c r="O23" s="215">
        <f t="shared" si="11"/>
        <v>7.2596721034947631E-3</v>
      </c>
      <c r="P23" s="201"/>
      <c r="Q23" s="18"/>
      <c r="T23"/>
      <c r="W23" s="148">
        <f>SUM(W7:Z21)</f>
        <v>11983.333333333332</v>
      </c>
      <c r="X23" s="158">
        <f>W23/(57-32)</f>
        <v>479.33333333333326</v>
      </c>
    </row>
    <row r="24" spans="2:26" x14ac:dyDescent="0.25">
      <c r="B24" s="36" t="s">
        <v>0</v>
      </c>
      <c r="C24" s="8" t="s">
        <v>1</v>
      </c>
      <c r="D24" s="8" t="s">
        <v>2</v>
      </c>
      <c r="E24" s="8" t="s">
        <v>3</v>
      </c>
      <c r="F24" s="8" t="s">
        <v>4</v>
      </c>
      <c r="G24" s="29"/>
      <c r="H24" s="135"/>
      <c r="I24" s="364">
        <f t="shared" si="12"/>
        <v>0.39999999999999997</v>
      </c>
      <c r="J24" s="214">
        <f t="shared" ref="J24:J30" si="13">1/($M$1+$M$2*$I24/($K$1*(1-$I24)))</f>
        <v>0.11428571428571428</v>
      </c>
      <c r="K24" s="214">
        <f t="shared" ref="K24:K30" si="14">1/($K$1+$M$2*$I24/($M$1*(1-$I24)))</f>
        <v>5.7142857142857141E-2</v>
      </c>
      <c r="L24" s="214">
        <f t="shared" ref="L24:L30" si="15">($M$1*$K$1-$M$1-$K$1)/($M$1*$K$1+$M$2*$I24/(1-$I24))</f>
        <v>0.2857142857142857</v>
      </c>
      <c r="M24" s="214">
        <f t="shared" ref="M24:M30" si="16">(J24*$N$15+K24*$N$16+L24*$Q$15)/$W$22</f>
        <v>3.1617968324353076</v>
      </c>
      <c r="N24" s="214">
        <f t="shared" ref="N24:N30" si="17">(J24*$N$15+K24*$N$16+L24*$Q$15)^2/((J24*$N$15)^2/($K$1-1)+(K24*$N$16)^2/($M$1-1)+(L24*$Q$15)^2/(($M$1-1)*($K$1-1)))</f>
        <v>8.8886289930081706</v>
      </c>
      <c r="O24" s="215">
        <f t="shared" si="11"/>
        <v>1.2914563404445856E-2</v>
      </c>
      <c r="P24" s="23"/>
      <c r="Q24" s="23"/>
      <c r="R24" s="23"/>
    </row>
    <row r="25" spans="2:26" x14ac:dyDescent="0.25">
      <c r="B25" s="71">
        <v>1</v>
      </c>
      <c r="C25" s="21">
        <f>COUNTA(C7:C8)</f>
        <v>2</v>
      </c>
      <c r="D25" s="21">
        <f>COUNTA(D7:D8)</f>
        <v>2</v>
      </c>
      <c r="E25" s="21">
        <f>COUNTA(E7:E8)</f>
        <v>2</v>
      </c>
      <c r="F25" s="21">
        <f>COUNTA(F7:F8)</f>
        <v>2</v>
      </c>
      <c r="G25" s="169">
        <f>SUM(C25:F25)</f>
        <v>8</v>
      </c>
      <c r="H25" s="99"/>
      <c r="I25" s="363">
        <f t="shared" si="12"/>
        <v>0.44999999999999996</v>
      </c>
      <c r="J25" s="214">
        <f t="shared" si="13"/>
        <v>0.10173410404624279</v>
      </c>
      <c r="K25" s="214">
        <f t="shared" si="14"/>
        <v>5.0867052023121397E-2</v>
      </c>
      <c r="L25" s="214">
        <f t="shared" si="15"/>
        <v>0.25433526011560698</v>
      </c>
      <c r="M25" s="214">
        <f t="shared" si="16"/>
        <v>2.8145474693354768</v>
      </c>
      <c r="N25" s="214">
        <f t="shared" si="17"/>
        <v>8.8886289930081688</v>
      </c>
      <c r="O25" s="215">
        <f t="shared" si="11"/>
        <v>2.2605350893445619E-2</v>
      </c>
      <c r="P25" s="18"/>
      <c r="Q25" s="18"/>
      <c r="R25" s="18"/>
    </row>
    <row r="26" spans="2:26" x14ac:dyDescent="0.25">
      <c r="B26" s="72">
        <v>2</v>
      </c>
      <c r="C26" s="23">
        <f>COUNTA(C9:C10)</f>
        <v>2</v>
      </c>
      <c r="D26" s="23">
        <f>COUNTA(D9:D10)</f>
        <v>2</v>
      </c>
      <c r="E26" s="23">
        <f>COUNTA(E9:E10)</f>
        <v>2</v>
      </c>
      <c r="F26" s="23">
        <f>COUNTA(F9:F10)</f>
        <v>2</v>
      </c>
      <c r="G26" s="169">
        <f t="shared" ref="G26:G32" si="18">SUM(C26:F26)</f>
        <v>8</v>
      </c>
      <c r="H26" s="99"/>
      <c r="I26" s="363">
        <f t="shared" si="12"/>
        <v>0.49999999999999994</v>
      </c>
      <c r="J26" s="214">
        <f t="shared" si="13"/>
        <v>8.98876404494382E-2</v>
      </c>
      <c r="K26" s="214">
        <f t="shared" si="14"/>
        <v>4.49438202247191E-2</v>
      </c>
      <c r="L26" s="214">
        <f t="shared" si="15"/>
        <v>0.2247191011235955</v>
      </c>
      <c r="M26" s="214">
        <f t="shared" si="16"/>
        <v>2.4868064974210284</v>
      </c>
      <c r="N26" s="214">
        <f t="shared" si="17"/>
        <v>8.888628993008167</v>
      </c>
      <c r="O26" s="215">
        <f t="shared" si="11"/>
        <v>3.887839963532258E-2</v>
      </c>
      <c r="P26" s="18"/>
      <c r="Q26" s="18"/>
      <c r="R26" s="18"/>
    </row>
    <row r="27" spans="2:26" x14ac:dyDescent="0.25">
      <c r="B27" s="72">
        <v>3</v>
      </c>
      <c r="C27" s="23">
        <f>COUNTA(C11:C13)</f>
        <v>3</v>
      </c>
      <c r="D27" s="23">
        <f>COUNTA(D11:D13)</f>
        <v>2</v>
      </c>
      <c r="E27" s="23">
        <f>COUNTA(E11:E13)</f>
        <v>3</v>
      </c>
      <c r="F27" s="23">
        <f>COUNTA(F11:F13)</f>
        <v>3</v>
      </c>
      <c r="G27" s="169">
        <f t="shared" si="18"/>
        <v>11</v>
      </c>
      <c r="H27" s="99"/>
      <c r="I27" s="363">
        <f t="shared" si="12"/>
        <v>0.54999999999999993</v>
      </c>
      <c r="J27" s="214">
        <f t="shared" si="13"/>
        <v>7.8688524590163941E-2</v>
      </c>
      <c r="K27" s="214">
        <f t="shared" si="14"/>
        <v>3.9344262295081971E-2</v>
      </c>
      <c r="L27" s="214">
        <f t="shared" si="15"/>
        <v>0.19672131147540986</v>
      </c>
      <c r="M27" s="214">
        <f t="shared" si="16"/>
        <v>2.1769748682341463</v>
      </c>
      <c r="N27" s="214">
        <f t="shared" si="17"/>
        <v>8.8886289930081706</v>
      </c>
      <c r="O27" s="215">
        <f t="shared" si="11"/>
        <v>6.5565417967322404E-2</v>
      </c>
      <c r="P27" s="18"/>
      <c r="Q27" s="18"/>
      <c r="R27" s="18"/>
    </row>
    <row r="28" spans="2:26" x14ac:dyDescent="0.25">
      <c r="B28" s="72">
        <v>4</v>
      </c>
      <c r="C28" s="23">
        <f>COUNTA(C14)</f>
        <v>1</v>
      </c>
      <c r="D28" s="23">
        <f>COUNTA(D14)</f>
        <v>1</v>
      </c>
      <c r="E28" s="23">
        <f>COUNTA(E14)</f>
        <v>1</v>
      </c>
      <c r="F28" s="23">
        <f>COUNTA(F14)</f>
        <v>0</v>
      </c>
      <c r="G28" s="169">
        <f t="shared" si="18"/>
        <v>3</v>
      </c>
      <c r="H28" s="99"/>
      <c r="I28" s="363">
        <f t="shared" si="12"/>
        <v>0.6</v>
      </c>
      <c r="J28" s="214">
        <f t="shared" si="13"/>
        <v>6.8085106382978738E-2</v>
      </c>
      <c r="K28" s="214">
        <f t="shared" si="14"/>
        <v>3.4042553191489369E-2</v>
      </c>
      <c r="L28" s="214">
        <f t="shared" si="15"/>
        <v>0.17021276595744683</v>
      </c>
      <c r="M28" s="214">
        <f t="shared" si="16"/>
        <v>1.8836236448550776</v>
      </c>
      <c r="N28" s="214">
        <f t="shared" si="17"/>
        <v>8.8886289930081723</v>
      </c>
      <c r="O28" s="215">
        <f t="shared" si="11"/>
        <v>0.1080992574242442</v>
      </c>
      <c r="P28" s="18"/>
      <c r="Q28" s="18"/>
      <c r="R28" s="18"/>
    </row>
    <row r="29" spans="2:26" x14ac:dyDescent="0.25">
      <c r="B29" s="72">
        <v>5</v>
      </c>
      <c r="C29" s="23">
        <f>COUNTA(C15:C16)</f>
        <v>2</v>
      </c>
      <c r="D29" s="23">
        <f>COUNTA(D15:D16)</f>
        <v>2</v>
      </c>
      <c r="E29" s="23">
        <f>COUNTA(E15:E16)</f>
        <v>2</v>
      </c>
      <c r="F29" s="23">
        <f>COUNTA(F15:F16)</f>
        <v>2</v>
      </c>
      <c r="G29" s="169">
        <f t="shared" si="18"/>
        <v>8</v>
      </c>
      <c r="H29" s="99"/>
      <c r="I29" s="363">
        <f t="shared" si="12"/>
        <v>0.65</v>
      </c>
      <c r="J29" s="214">
        <f t="shared" si="13"/>
        <v>5.8031088082901541E-2</v>
      </c>
      <c r="K29" s="214">
        <f t="shared" si="14"/>
        <v>2.9015544041450771E-2</v>
      </c>
      <c r="L29" s="214">
        <f t="shared" si="15"/>
        <v>0.14507772020725385</v>
      </c>
      <c r="M29" s="214">
        <f t="shared" si="16"/>
        <v>1.6054719667288089</v>
      </c>
      <c r="N29" s="214">
        <f t="shared" si="17"/>
        <v>8.8886289930081706</v>
      </c>
      <c r="O29" s="215">
        <f t="shared" si="11"/>
        <v>0.17351141552025706</v>
      </c>
      <c r="P29" s="18"/>
      <c r="Q29" s="18"/>
      <c r="R29" s="18"/>
    </row>
    <row r="30" spans="2:26" ht="15.75" thickBot="1" x14ac:dyDescent="0.3">
      <c r="B30" s="72">
        <v>6</v>
      </c>
      <c r="C30" s="23">
        <f>COUNTA(C17:C18)</f>
        <v>2</v>
      </c>
      <c r="D30" s="23">
        <f>COUNTA(D17:D18)</f>
        <v>2</v>
      </c>
      <c r="E30" s="23">
        <f>COUNTA(E17:E18)</f>
        <v>2</v>
      </c>
      <c r="F30" s="23">
        <f>COUNTA(F17:F18)</f>
        <v>2</v>
      </c>
      <c r="G30" s="169">
        <f t="shared" si="18"/>
        <v>8</v>
      </c>
      <c r="H30" s="99"/>
      <c r="I30" s="365">
        <f t="shared" si="12"/>
        <v>0.70000000000000007</v>
      </c>
      <c r="J30" s="216">
        <f t="shared" si="13"/>
        <v>4.8484848484848471E-2</v>
      </c>
      <c r="K30" s="216">
        <f t="shared" si="14"/>
        <v>2.4242424242424235E-2</v>
      </c>
      <c r="L30" s="216">
        <f t="shared" si="15"/>
        <v>0.12121212121212117</v>
      </c>
      <c r="M30" s="216">
        <f t="shared" si="16"/>
        <v>1.3413683531543725</v>
      </c>
      <c r="N30" s="216">
        <f t="shared" si="17"/>
        <v>8.8886289930081723</v>
      </c>
      <c r="O30" s="217">
        <f t="shared" si="11"/>
        <v>0.26953720137541404</v>
      </c>
      <c r="P30" s="18"/>
      <c r="Q30" s="18"/>
      <c r="R30" s="18"/>
    </row>
    <row r="31" spans="2:26" x14ac:dyDescent="0.25">
      <c r="B31" s="72">
        <v>7</v>
      </c>
      <c r="C31" s="23">
        <f>COUNTA(C19:C20)</f>
        <v>1</v>
      </c>
      <c r="D31" s="23">
        <f>COUNTA(D19:D20)</f>
        <v>2</v>
      </c>
      <c r="E31" s="23">
        <f>COUNTA(E19:E20)</f>
        <v>2</v>
      </c>
      <c r="F31" s="23">
        <f>COUNTA(F19:F20)</f>
        <v>2</v>
      </c>
      <c r="G31" s="169">
        <f t="shared" si="18"/>
        <v>7</v>
      </c>
      <c r="H31" s="99"/>
      <c r="I31"/>
      <c r="J31" s="18"/>
      <c r="K31" s="18"/>
      <c r="L31" s="18"/>
      <c r="M31" s="18"/>
      <c r="N31" s="18"/>
      <c r="O31" s="18"/>
      <c r="P31" s="18"/>
      <c r="Q31" s="18"/>
      <c r="R31" s="18"/>
    </row>
    <row r="32" spans="2:26" x14ac:dyDescent="0.25">
      <c r="B32" s="72">
        <v>8</v>
      </c>
      <c r="C32" s="23">
        <f>COUNTA(C21)</f>
        <v>1</v>
      </c>
      <c r="D32" s="23">
        <f>COUNTA(D21)</f>
        <v>1</v>
      </c>
      <c r="E32" s="23">
        <f>COUNTA(E21)</f>
        <v>1</v>
      </c>
      <c r="F32" s="23">
        <f>COUNTA(F21)</f>
        <v>1</v>
      </c>
      <c r="G32" s="170">
        <f t="shared" si="18"/>
        <v>4</v>
      </c>
      <c r="H32" s="99"/>
      <c r="I32"/>
      <c r="J32" s="18"/>
      <c r="K32"/>
      <c r="L32" s="18"/>
      <c r="M32" s="18"/>
      <c r="N32" s="18"/>
      <c r="O32" s="18"/>
      <c r="P32" s="18"/>
      <c r="Q32" s="18"/>
      <c r="R32" s="18"/>
    </row>
    <row r="33" spans="1:24" ht="21" customHeight="1" x14ac:dyDescent="0.25">
      <c r="B33" s="137"/>
      <c r="C33" s="168">
        <f>SUM(C25:C32)</f>
        <v>14</v>
      </c>
      <c r="D33" s="168">
        <f t="shared" ref="D33:F33" si="19">SUM(D25:D32)</f>
        <v>14</v>
      </c>
      <c r="E33" s="168">
        <f t="shared" si="19"/>
        <v>15</v>
      </c>
      <c r="F33" s="168">
        <f t="shared" si="19"/>
        <v>14</v>
      </c>
      <c r="G33" s="171">
        <f>SUM(C33:F33)</f>
        <v>57</v>
      </c>
      <c r="H33" s="136"/>
      <c r="I33"/>
      <c r="J33"/>
      <c r="K33"/>
      <c r="L33"/>
      <c r="M33"/>
      <c r="N33"/>
      <c r="O33"/>
      <c r="P33"/>
      <c r="Q33"/>
      <c r="R33"/>
    </row>
    <row r="34" spans="1:24" x14ac:dyDescent="0.25">
      <c r="M34"/>
    </row>
    <row r="35" spans="1:24" ht="22.5" customHeight="1" x14ac:dyDescent="0.25">
      <c r="C35" s="147"/>
      <c r="D35" s="147"/>
      <c r="E35" s="147"/>
      <c r="F35" s="147"/>
      <c r="G35"/>
      <c r="H35" s="23"/>
      <c r="J35"/>
      <c r="K35" s="147"/>
      <c r="L35" s="147"/>
      <c r="M35" s="147"/>
      <c r="N35" s="147"/>
    </row>
    <row r="36" spans="1:24" s="55" customFormat="1" ht="22.5" customHeight="1" x14ac:dyDescent="0.25">
      <c r="I36" s="56"/>
      <c r="P36" s="56"/>
      <c r="Q36" s="56"/>
      <c r="R36" s="56"/>
      <c r="S36" s="56"/>
      <c r="T36" s="56"/>
      <c r="U36" s="56"/>
      <c r="V36" s="56"/>
      <c r="W36" s="91"/>
      <c r="X36" s="91"/>
    </row>
    <row r="45" spans="1:24" s="1" customFormat="1" ht="21" customHeight="1" x14ac:dyDescent="0.25">
      <c r="A45"/>
      <c r="W45" s="158"/>
      <c r="X45" s="158"/>
    </row>
    <row r="46" spans="1:24" s="1" customFormat="1" ht="21" customHeight="1" x14ac:dyDescent="0.25">
      <c r="A46" s="18"/>
      <c r="W46" s="158"/>
      <c r="X46" s="158"/>
    </row>
    <row r="47" spans="1:24" x14ac:dyDescent="0.25">
      <c r="D47"/>
    </row>
  </sheetData>
  <mergeCells count="1">
    <mergeCell ref="C5:F5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1:AB57"/>
  <sheetViews>
    <sheetView workbookViewId="0">
      <selection activeCell="D17" sqref="D17"/>
    </sheetView>
  </sheetViews>
  <sheetFormatPr defaultRowHeight="15" x14ac:dyDescent="0.25"/>
  <cols>
    <col min="1" max="1" width="10.42578125" customWidth="1"/>
    <col min="2" max="2" width="18.140625" customWidth="1"/>
    <col min="3" max="3" width="11.5703125" style="1" customWidth="1"/>
    <col min="4" max="4" width="13.140625" style="1" customWidth="1"/>
    <col min="5" max="5" width="12.85546875" style="1" customWidth="1"/>
    <col min="6" max="6" width="11.5703125" style="1" customWidth="1"/>
    <col min="7" max="7" width="11.7109375" style="1" customWidth="1"/>
    <col min="8" max="8" width="9.85546875" style="1" customWidth="1"/>
    <col min="9" max="9" width="12" style="1" customWidth="1"/>
    <col min="10" max="10" width="13.7109375" style="1" customWidth="1"/>
    <col min="11" max="11" width="9.5703125" style="1" customWidth="1"/>
    <col min="12" max="12" width="7.42578125" style="1" customWidth="1"/>
    <col min="13" max="16" width="9.85546875" style="1" customWidth="1"/>
    <col min="17" max="18" width="7.5703125" style="1" customWidth="1"/>
    <col min="19" max="19" width="9.28515625" style="1" customWidth="1"/>
    <col min="20" max="20" width="7.7109375" style="1" customWidth="1"/>
    <col min="21" max="22" width="7.5703125" style="1" customWidth="1"/>
    <col min="23" max="23" width="5.5703125" style="1" customWidth="1"/>
    <col min="24" max="24" width="8.140625" style="1" customWidth="1"/>
    <col min="25" max="26" width="8.140625" style="61" customWidth="1"/>
    <col min="27" max="27" width="8.140625" customWidth="1"/>
    <col min="35" max="35" width="6" customWidth="1"/>
  </cols>
  <sheetData>
    <row r="1" spans="2:28" x14ac:dyDescent="0.25">
      <c r="B1" s="35" t="s">
        <v>15</v>
      </c>
      <c r="C1" s="223">
        <f>C3/(C3+C4+C2)</f>
        <v>0.75338099120001922</v>
      </c>
      <c r="D1" s="226" t="s">
        <v>16</v>
      </c>
      <c r="E1" s="284">
        <f>M2*(I1-C7*I3)/(M2*I1+C7*(M1*I2+(M3-M2-M1)*I3))</f>
        <v>0.55502854833066761</v>
      </c>
      <c r="F1" s="99"/>
      <c r="G1" s="1">
        <f>M1*C1/(M2*(1-C1))</f>
        <v>0.81462332782416935</v>
      </c>
      <c r="H1" s="1" t="s">
        <v>30</v>
      </c>
      <c r="I1" s="92">
        <f>SUM(J10:J24)/(M2-1)</f>
        <v>6131.8452380952367</v>
      </c>
      <c r="K1" s="124">
        <f>(M3-C50)/(M3-G50)</f>
        <v>1.0000000000000002</v>
      </c>
      <c r="L1"/>
      <c r="M1" s="16">
        <f>COUNTA(C9:F9)</f>
        <v>4</v>
      </c>
      <c r="N1" s="288" t="s">
        <v>36</v>
      </c>
      <c r="O1" s="289">
        <f>_xlfn.F.DIST.RT(O6,M2-1,O4)</f>
        <v>1.8947132314641513E-5</v>
      </c>
      <c r="P1" s="135"/>
    </row>
    <row r="2" spans="2:28" x14ac:dyDescent="0.25">
      <c r="B2" s="34"/>
      <c r="C2" s="52">
        <f>(K2*(I6-G6)+K1*(I6-I5)-(I6-K5))/(K2*(M3-M2)+K1*(M3-M1)-(M3-1))</f>
        <v>410.81349206345567</v>
      </c>
      <c r="D2" s="247" t="s">
        <v>24</v>
      </c>
      <c r="E2" s="285">
        <f>M2*(I1-C6*I3)/(M2*I1+C6*(M1*I2+(M3-M2-M1)*I3))</f>
        <v>0.89547443977062524</v>
      </c>
      <c r="F2" s="95"/>
      <c r="G2" s="1">
        <f>1+((M3-M1)*C1)/(M2*(1-C1))</f>
        <v>12.404726589538372</v>
      </c>
      <c r="H2" s="1" t="s">
        <v>31</v>
      </c>
      <c r="I2" s="92">
        <f>SUM(C26:F26)/(M1-1)</f>
        <v>1271.527777777774</v>
      </c>
      <c r="K2" s="124">
        <f>(M3-E50)/(M3-G49)</f>
        <v>1</v>
      </c>
      <c r="L2"/>
      <c r="M2" s="16">
        <f>COUNT(B32:B46)</f>
        <v>15</v>
      </c>
      <c r="N2" s="290"/>
      <c r="O2" s="291">
        <f>M1*O5/(M2*(1-O5))</f>
        <v>0.11428571428571428</v>
      </c>
      <c r="P2" s="135"/>
    </row>
    <row r="3" spans="2:28" x14ac:dyDescent="0.25">
      <c r="B3" s="224"/>
      <c r="C3" s="225">
        <f>(I6-I5-(M3-M1)*C2)/(M3-G50)</f>
        <v>1430.2579365079564</v>
      </c>
      <c r="D3" s="260"/>
      <c r="E3" s="287"/>
      <c r="F3" s="95"/>
      <c r="G3" s="1">
        <f>(G1*I2+G2*I3)^2/((G1*I2)^2/(M1-1)+(G2*I3)^2/(M3-M1-M2+1))</f>
        <v>38.5256791618555</v>
      </c>
      <c r="H3" s="1" t="s">
        <v>32</v>
      </c>
      <c r="I3" s="315">
        <f>SUM(Y10:AB24)/(M3-M2-M1+1)</f>
        <v>410.81349206349211</v>
      </c>
      <c r="K3" s="1">
        <f>AVERAGE(C10:F24)</f>
        <v>284.58333333333331</v>
      </c>
      <c r="L3"/>
      <c r="M3" s="128">
        <f>G47</f>
        <v>60</v>
      </c>
      <c r="N3" s="292"/>
      <c r="O3" s="293">
        <f>1+((M3-M1)*O5)/(M2*(1-O5))</f>
        <v>2.6</v>
      </c>
      <c r="P3" s="135"/>
    </row>
    <row r="4" spans="2:28" x14ac:dyDescent="0.25">
      <c r="B4" s="248"/>
      <c r="C4" s="53">
        <f>(I6-G6-(M3-M2)*C2)/(M3-G49)</f>
        <v>57.380952380988795</v>
      </c>
      <c r="D4" s="249"/>
      <c r="E4" s="250"/>
      <c r="I4"/>
      <c r="J4" s="251"/>
      <c r="N4" s="169"/>
      <c r="O4" s="317">
        <f>(O2*I2+O3*I3)^2/((O2*I2)^2/(M1-1)+(O3*I3)^2/(M3-M1-M2+1))</f>
        <v>43.049872895854129</v>
      </c>
      <c r="P4" s="99"/>
    </row>
    <row r="5" spans="2:28" ht="15.75" x14ac:dyDescent="0.25">
      <c r="B5" t="s">
        <v>33</v>
      </c>
      <c r="C5" s="299">
        <v>0.95</v>
      </c>
      <c r="F5" s="221"/>
      <c r="G5" s="128">
        <f>SUM(C10:F24)</f>
        <v>17075</v>
      </c>
      <c r="H5" s="221"/>
      <c r="I5" s="298">
        <f>SUM(C28:F28)</f>
        <v>4863075.0000000009</v>
      </c>
      <c r="J5" s="221"/>
      <c r="K5" s="98">
        <f>M3*(AVERAGE(C10:F24))^2</f>
        <v>4859260.416666666</v>
      </c>
      <c r="N5" s="169"/>
      <c r="O5" s="294">
        <v>0.3</v>
      </c>
      <c r="P5" s="153"/>
      <c r="Y5" s="219"/>
      <c r="Z5" s="219"/>
    </row>
    <row r="6" spans="2:28" x14ac:dyDescent="0.25">
      <c r="C6" s="62">
        <f>_xlfn.F.INV((1-C5)/2,M2-1,G3)</f>
        <v>0.37264392352109588</v>
      </c>
      <c r="F6" s="221"/>
      <c r="G6" s="98">
        <f>SUM(H10:H24)</f>
        <v>4945106.25</v>
      </c>
      <c r="H6" s="221"/>
      <c r="I6" s="98">
        <f>SUM(M10:P24)</f>
        <v>4966175</v>
      </c>
      <c r="J6" s="221"/>
      <c r="K6" s="221"/>
      <c r="N6" s="295" t="s">
        <v>34</v>
      </c>
      <c r="O6" s="316">
        <f>I1/(O2*I2+O3*I3)</f>
        <v>5.0533054270157143</v>
      </c>
      <c r="P6" s="99"/>
      <c r="Y6" s="222"/>
      <c r="Z6" s="222"/>
    </row>
    <row r="7" spans="2:28" x14ac:dyDescent="0.25">
      <c r="C7" s="62">
        <f>_xlfn.F.INV(1-(1-C5)/2,M2-1,G3)</f>
        <v>2.2323635341699655</v>
      </c>
      <c r="P7" s="153"/>
      <c r="Q7" s="286"/>
      <c r="Y7" s="222"/>
      <c r="Z7" s="222"/>
    </row>
    <row r="8" spans="2:28" ht="18" customHeight="1" x14ac:dyDescent="0.25">
      <c r="C8" s="329"/>
      <c r="D8" s="329"/>
      <c r="E8" s="329"/>
      <c r="F8" s="329"/>
      <c r="Z8"/>
    </row>
    <row r="9" spans="2:28" x14ac:dyDescent="0.25">
      <c r="B9" s="300" t="s">
        <v>0</v>
      </c>
      <c r="C9" s="301" t="s">
        <v>1</v>
      </c>
      <c r="D9" s="301" t="s">
        <v>2</v>
      </c>
      <c r="E9" s="301" t="s">
        <v>3</v>
      </c>
      <c r="F9" s="302" t="s">
        <v>4</v>
      </c>
      <c r="G9" s="29"/>
      <c r="H9" s="36"/>
      <c r="I9" s="41"/>
      <c r="J9" s="41"/>
      <c r="L9" s="41" t="s">
        <v>0</v>
      </c>
      <c r="M9" s="8" t="s">
        <v>1</v>
      </c>
      <c r="N9" s="8" t="s">
        <v>2</v>
      </c>
      <c r="O9" s="8" t="s">
        <v>3</v>
      </c>
      <c r="P9" s="11" t="s">
        <v>4</v>
      </c>
      <c r="R9" s="41" t="s">
        <v>0</v>
      </c>
      <c r="S9" s="8" t="s">
        <v>1</v>
      </c>
      <c r="T9" s="8" t="s">
        <v>2</v>
      </c>
      <c r="U9" s="8" t="s">
        <v>3</v>
      </c>
      <c r="V9" s="11" t="s">
        <v>4</v>
      </c>
      <c r="X9" s="41" t="s">
        <v>0</v>
      </c>
      <c r="Y9" s="8" t="s">
        <v>1</v>
      </c>
      <c r="Z9" s="8" t="s">
        <v>2</v>
      </c>
      <c r="AA9" s="8" t="s">
        <v>3</v>
      </c>
      <c r="AB9" s="11" t="s">
        <v>4</v>
      </c>
    </row>
    <row r="10" spans="2:28" x14ac:dyDescent="0.25">
      <c r="B10" s="65">
        <v>1</v>
      </c>
      <c r="C10" s="66">
        <v>190</v>
      </c>
      <c r="D10" s="66">
        <v>220</v>
      </c>
      <c r="E10" s="66">
        <v>200</v>
      </c>
      <c r="F10" s="67">
        <v>200</v>
      </c>
      <c r="G10" s="39">
        <f>SUM(C10:F10)^2</f>
        <v>656100</v>
      </c>
      <c r="H10" s="50">
        <f t="shared" ref="H10:H24" si="0">IF(G32&gt;0,G10/G32,0)</f>
        <v>164025</v>
      </c>
      <c r="I10" s="232">
        <f>AVERAGE(C10:F10)</f>
        <v>202.5</v>
      </c>
      <c r="J10" s="232">
        <f t="shared" ref="J10:J24" si="1">G32*(I10-$K$3)^2</f>
        <v>26950.694444444431</v>
      </c>
      <c r="K10" s="20"/>
      <c r="L10" s="42">
        <v>1</v>
      </c>
      <c r="M10" s="25">
        <f>C10^2</f>
        <v>36100</v>
      </c>
      <c r="N10" s="25">
        <f t="shared" ref="N10:P24" si="2">D10^2</f>
        <v>48400</v>
      </c>
      <c r="O10" s="25">
        <f t="shared" si="2"/>
        <v>40000</v>
      </c>
      <c r="P10" s="26">
        <f t="shared" si="2"/>
        <v>40000</v>
      </c>
      <c r="Q10" s="20"/>
      <c r="R10" s="42">
        <v>1</v>
      </c>
      <c r="S10" s="25">
        <f t="shared" ref="S10:S24" si="3">IF(C32&gt;0, C10^2/C32,0)</f>
        <v>36100</v>
      </c>
      <c r="T10" s="25">
        <f t="shared" ref="T10:T24" si="4">IF(D32&gt;0, D10^2/D32,0)</f>
        <v>48400</v>
      </c>
      <c r="U10" s="25">
        <f t="shared" ref="U10:U24" si="5">IF(E32&gt;0, E10^2/E32,0)</f>
        <v>40000</v>
      </c>
      <c r="V10" s="26">
        <f t="shared" ref="V10:V24" si="6">IF(F32&gt;0, F10^2/F32,0)</f>
        <v>40000</v>
      </c>
      <c r="X10" s="42">
        <v>1</v>
      </c>
      <c r="Y10" s="100">
        <f t="shared" ref="Y10:Y24" si="7">(C10-$I10-C$25+$K$3)^2</f>
        <v>15.340277777777926</v>
      </c>
      <c r="Z10" s="233">
        <f t="shared" ref="Z10:Z24" si="8">(D10-$I10-D$25+$K$3)^2</f>
        <v>548.34027777777601</v>
      </c>
      <c r="AA10" s="233">
        <f t="shared" ref="AA10:AA24" si="9">(E10-$I10-E$25+$K$3)^2</f>
        <v>27.5625</v>
      </c>
      <c r="AB10" s="234">
        <f t="shared" ref="AB10:AB24" si="10">(F10-$I10-F$25+$K$3)^2</f>
        <v>203.0625</v>
      </c>
    </row>
    <row r="11" spans="2:28" x14ac:dyDescent="0.25">
      <c r="B11" s="65">
        <v>2</v>
      </c>
      <c r="C11" s="66">
        <v>220</v>
      </c>
      <c r="D11" s="66">
        <v>200</v>
      </c>
      <c r="E11" s="66">
        <v>240</v>
      </c>
      <c r="F11" s="67">
        <v>230</v>
      </c>
      <c r="G11" s="39">
        <f t="shared" ref="G11:G24" si="11">SUM(C11:F11)^2</f>
        <v>792100</v>
      </c>
      <c r="H11" s="50">
        <f t="shared" si="0"/>
        <v>198025</v>
      </c>
      <c r="I11" s="50">
        <f t="shared" ref="I11:I24" si="12">AVERAGE(C11:F11)</f>
        <v>222.5</v>
      </c>
      <c r="J11" s="50">
        <f t="shared" si="1"/>
        <v>15417.361111111102</v>
      </c>
      <c r="K11" s="20"/>
      <c r="L11" s="42">
        <v>2</v>
      </c>
      <c r="M11" s="25">
        <f t="shared" ref="M11:M24" si="13">C11^2</f>
        <v>48400</v>
      </c>
      <c r="N11" s="25">
        <f t="shared" si="2"/>
        <v>40000</v>
      </c>
      <c r="O11" s="25">
        <f t="shared" si="2"/>
        <v>57600</v>
      </c>
      <c r="P11" s="26">
        <f t="shared" si="2"/>
        <v>52900</v>
      </c>
      <c r="Q11" s="20"/>
      <c r="R11" s="42">
        <v>2</v>
      </c>
      <c r="S11" s="25">
        <f t="shared" si="3"/>
        <v>48400</v>
      </c>
      <c r="T11" s="25">
        <f t="shared" si="4"/>
        <v>40000</v>
      </c>
      <c r="U11" s="25">
        <f t="shared" si="5"/>
        <v>57600</v>
      </c>
      <c r="V11" s="26">
        <f t="shared" si="6"/>
        <v>52900</v>
      </c>
      <c r="X11" s="42">
        <v>2</v>
      </c>
      <c r="Y11" s="235">
        <f t="shared" si="7"/>
        <v>37.006944444444215</v>
      </c>
      <c r="Z11" s="54">
        <f t="shared" si="8"/>
        <v>275.00694444444571</v>
      </c>
      <c r="AA11" s="54">
        <f t="shared" si="9"/>
        <v>217.5625</v>
      </c>
      <c r="AB11" s="236">
        <f t="shared" si="10"/>
        <v>18.0625</v>
      </c>
    </row>
    <row r="12" spans="2:28" x14ac:dyDescent="0.25">
      <c r="B12" s="65">
        <v>3</v>
      </c>
      <c r="C12" s="66">
        <v>260</v>
      </c>
      <c r="D12" s="66">
        <v>260</v>
      </c>
      <c r="E12" s="66">
        <v>240</v>
      </c>
      <c r="F12" s="67">
        <v>280</v>
      </c>
      <c r="G12" s="39">
        <f t="shared" si="11"/>
        <v>1081600</v>
      </c>
      <c r="H12" s="50">
        <f t="shared" si="0"/>
        <v>270400</v>
      </c>
      <c r="I12" s="50">
        <f t="shared" si="12"/>
        <v>260</v>
      </c>
      <c r="J12" s="50">
        <f t="shared" si="1"/>
        <v>2417.3611111111072</v>
      </c>
      <c r="K12" s="20"/>
      <c r="L12" s="42">
        <v>3</v>
      </c>
      <c r="M12" s="25">
        <f t="shared" si="13"/>
        <v>67600</v>
      </c>
      <c r="N12" s="25">
        <f t="shared" si="2"/>
        <v>67600</v>
      </c>
      <c r="O12" s="25">
        <f t="shared" si="2"/>
        <v>57600</v>
      </c>
      <c r="P12" s="26">
        <f t="shared" si="2"/>
        <v>78400</v>
      </c>
      <c r="Q12" s="20"/>
      <c r="R12" s="42">
        <v>3</v>
      </c>
      <c r="S12" s="25">
        <f t="shared" si="3"/>
        <v>67600</v>
      </c>
      <c r="T12" s="25">
        <f t="shared" si="4"/>
        <v>67600</v>
      </c>
      <c r="U12" s="25">
        <f t="shared" si="5"/>
        <v>57600</v>
      </c>
      <c r="V12" s="26">
        <f t="shared" si="6"/>
        <v>78400</v>
      </c>
      <c r="X12" s="42">
        <v>3</v>
      </c>
      <c r="Y12" s="235">
        <f t="shared" si="7"/>
        <v>73.673611111110787</v>
      </c>
      <c r="Z12" s="54">
        <f t="shared" si="8"/>
        <v>35.006944444443995</v>
      </c>
      <c r="AA12" s="54">
        <f t="shared" si="9"/>
        <v>517.5625</v>
      </c>
      <c r="AB12" s="236">
        <f t="shared" si="10"/>
        <v>68.0625</v>
      </c>
    </row>
    <row r="13" spans="2:28" x14ac:dyDescent="0.25">
      <c r="B13" s="65">
        <v>4</v>
      </c>
      <c r="C13" s="66">
        <v>210</v>
      </c>
      <c r="D13" s="66">
        <v>300</v>
      </c>
      <c r="E13" s="66">
        <v>280</v>
      </c>
      <c r="F13" s="67">
        <v>265</v>
      </c>
      <c r="G13" s="39">
        <f t="shared" si="11"/>
        <v>1113025</v>
      </c>
      <c r="H13" s="50">
        <f t="shared" si="0"/>
        <v>278256.25</v>
      </c>
      <c r="I13" s="50">
        <f t="shared" si="12"/>
        <v>263.75</v>
      </c>
      <c r="J13" s="50">
        <f t="shared" si="1"/>
        <v>1736.1111111111079</v>
      </c>
      <c r="K13" s="20"/>
      <c r="L13" s="42">
        <v>4</v>
      </c>
      <c r="M13" s="25">
        <f t="shared" si="13"/>
        <v>44100</v>
      </c>
      <c r="N13" s="25">
        <f t="shared" si="2"/>
        <v>90000</v>
      </c>
      <c r="O13" s="25">
        <f t="shared" si="2"/>
        <v>78400</v>
      </c>
      <c r="P13" s="26">
        <f t="shared" si="2"/>
        <v>70225</v>
      </c>
      <c r="Q13" s="20"/>
      <c r="R13" s="42">
        <v>4</v>
      </c>
      <c r="S13" s="25">
        <f t="shared" si="3"/>
        <v>44100</v>
      </c>
      <c r="T13" s="25">
        <f t="shared" si="4"/>
        <v>90000</v>
      </c>
      <c r="U13" s="25">
        <f t="shared" si="5"/>
        <v>78400</v>
      </c>
      <c r="V13" s="26">
        <f t="shared" si="6"/>
        <v>70225</v>
      </c>
      <c r="X13" s="42">
        <v>4</v>
      </c>
      <c r="Y13" s="235">
        <f t="shared" si="7"/>
        <v>2040.0277777777794</v>
      </c>
      <c r="Z13" s="54">
        <f t="shared" si="8"/>
        <v>1778.0277777777746</v>
      </c>
      <c r="AA13" s="54">
        <f t="shared" si="9"/>
        <v>182.25</v>
      </c>
      <c r="AB13" s="236">
        <f t="shared" si="10"/>
        <v>110.25</v>
      </c>
    </row>
    <row r="14" spans="2:28" x14ac:dyDescent="0.25">
      <c r="B14" s="65">
        <v>5</v>
      </c>
      <c r="C14" s="66">
        <v>270</v>
      </c>
      <c r="D14" s="66">
        <v>265</v>
      </c>
      <c r="E14" s="66">
        <v>280</v>
      </c>
      <c r="F14" s="67">
        <v>270</v>
      </c>
      <c r="G14" s="39">
        <f t="shared" si="11"/>
        <v>1177225</v>
      </c>
      <c r="H14" s="50">
        <f t="shared" si="0"/>
        <v>294306.25</v>
      </c>
      <c r="I14" s="50">
        <f t="shared" si="12"/>
        <v>271.25</v>
      </c>
      <c r="J14" s="50">
        <f t="shared" si="1"/>
        <v>711.11111111110904</v>
      </c>
      <c r="K14" s="20"/>
      <c r="L14" s="42">
        <v>5</v>
      </c>
      <c r="M14" s="25">
        <f t="shared" si="13"/>
        <v>72900</v>
      </c>
      <c r="N14" s="25">
        <f t="shared" si="2"/>
        <v>70225</v>
      </c>
      <c r="O14" s="25">
        <f t="shared" si="2"/>
        <v>78400</v>
      </c>
      <c r="P14" s="26">
        <f t="shared" si="2"/>
        <v>72900</v>
      </c>
      <c r="Q14" s="20"/>
      <c r="R14" s="42">
        <v>5</v>
      </c>
      <c r="S14" s="25">
        <f t="shared" si="3"/>
        <v>72900</v>
      </c>
      <c r="T14" s="25">
        <f t="shared" si="4"/>
        <v>70225</v>
      </c>
      <c r="U14" s="25">
        <f t="shared" si="5"/>
        <v>78400</v>
      </c>
      <c r="V14" s="26">
        <f t="shared" si="6"/>
        <v>72900</v>
      </c>
      <c r="X14" s="42">
        <v>5</v>
      </c>
      <c r="Y14" s="235">
        <f t="shared" si="7"/>
        <v>53.777777777777501</v>
      </c>
      <c r="Z14" s="54">
        <f t="shared" si="8"/>
        <v>0.11111111111113638</v>
      </c>
      <c r="AA14" s="54">
        <f t="shared" si="9"/>
        <v>36</v>
      </c>
      <c r="AB14" s="236">
        <f t="shared" si="10"/>
        <v>169</v>
      </c>
    </row>
    <row r="15" spans="2:28" x14ac:dyDescent="0.25">
      <c r="B15" s="65">
        <v>6</v>
      </c>
      <c r="C15" s="66">
        <v>280</v>
      </c>
      <c r="D15" s="66">
        <v>280</v>
      </c>
      <c r="E15" s="66">
        <v>270</v>
      </c>
      <c r="F15" s="67">
        <v>275</v>
      </c>
      <c r="G15" s="39">
        <f t="shared" si="11"/>
        <v>1221025</v>
      </c>
      <c r="H15" s="50">
        <f t="shared" si="0"/>
        <v>305256.25</v>
      </c>
      <c r="I15" s="50">
        <f t="shared" si="12"/>
        <v>276.25</v>
      </c>
      <c r="J15" s="50">
        <f t="shared" si="1"/>
        <v>277.77777777777652</v>
      </c>
      <c r="K15" s="20"/>
      <c r="L15" s="42">
        <v>6</v>
      </c>
      <c r="M15" s="25">
        <f t="shared" si="13"/>
        <v>78400</v>
      </c>
      <c r="N15" s="25">
        <f t="shared" si="2"/>
        <v>78400</v>
      </c>
      <c r="O15" s="25">
        <f t="shared" si="2"/>
        <v>72900</v>
      </c>
      <c r="P15" s="26">
        <f t="shared" si="2"/>
        <v>75625</v>
      </c>
      <c r="Q15" s="20"/>
      <c r="R15" s="42">
        <v>6</v>
      </c>
      <c r="S15" s="25">
        <f t="shared" si="3"/>
        <v>78400</v>
      </c>
      <c r="T15" s="25">
        <f t="shared" si="4"/>
        <v>78400</v>
      </c>
      <c r="U15" s="25">
        <f t="shared" si="5"/>
        <v>72900</v>
      </c>
      <c r="V15" s="26">
        <f t="shared" si="6"/>
        <v>75625</v>
      </c>
      <c r="X15" s="42">
        <v>6</v>
      </c>
      <c r="Y15" s="235">
        <f t="shared" si="7"/>
        <v>152.11111111111063</v>
      </c>
      <c r="Z15" s="54">
        <f t="shared" si="8"/>
        <v>93.444444444443718</v>
      </c>
      <c r="AA15" s="54">
        <f t="shared" si="9"/>
        <v>81</v>
      </c>
      <c r="AB15" s="236">
        <f t="shared" si="10"/>
        <v>169</v>
      </c>
    </row>
    <row r="16" spans="2:28" x14ac:dyDescent="0.25">
      <c r="B16" s="65">
        <v>7</v>
      </c>
      <c r="C16" s="66">
        <v>260</v>
      </c>
      <c r="D16" s="66">
        <v>280</v>
      </c>
      <c r="E16" s="66">
        <v>280</v>
      </c>
      <c r="F16" s="67">
        <v>300</v>
      </c>
      <c r="G16" s="39">
        <f t="shared" si="11"/>
        <v>1254400</v>
      </c>
      <c r="H16" s="50">
        <f t="shared" si="0"/>
        <v>313600</v>
      </c>
      <c r="I16" s="50">
        <f t="shared" si="12"/>
        <v>280</v>
      </c>
      <c r="J16" s="50">
        <f t="shared" si="1"/>
        <v>84.027777777777089</v>
      </c>
      <c r="K16" s="20"/>
      <c r="L16" s="42">
        <v>7</v>
      </c>
      <c r="M16" s="25">
        <f t="shared" si="13"/>
        <v>67600</v>
      </c>
      <c r="N16" s="25">
        <f t="shared" si="2"/>
        <v>78400</v>
      </c>
      <c r="O16" s="25">
        <f t="shared" si="2"/>
        <v>78400</v>
      </c>
      <c r="P16" s="26">
        <f t="shared" si="2"/>
        <v>90000</v>
      </c>
      <c r="Q16" s="20"/>
      <c r="R16" s="42">
        <v>7</v>
      </c>
      <c r="S16" s="25">
        <f t="shared" si="3"/>
        <v>67600</v>
      </c>
      <c r="T16" s="25">
        <f t="shared" si="4"/>
        <v>78400</v>
      </c>
      <c r="U16" s="25">
        <f t="shared" si="5"/>
        <v>78400</v>
      </c>
      <c r="V16" s="26">
        <f t="shared" si="6"/>
        <v>90000</v>
      </c>
      <c r="X16" s="42">
        <v>7</v>
      </c>
      <c r="Y16" s="235">
        <f t="shared" si="7"/>
        <v>130.3402777777782</v>
      </c>
      <c r="Z16" s="54">
        <f t="shared" si="8"/>
        <v>35.006944444443995</v>
      </c>
      <c r="AA16" s="54">
        <f t="shared" si="9"/>
        <v>7.5625</v>
      </c>
      <c r="AB16" s="236">
        <f t="shared" si="10"/>
        <v>68.0625</v>
      </c>
    </row>
    <row r="17" spans="2:28" x14ac:dyDescent="0.25">
      <c r="B17" s="65">
        <v>8</v>
      </c>
      <c r="C17" s="66">
        <v>275</v>
      </c>
      <c r="D17" s="66">
        <v>275</v>
      </c>
      <c r="E17" s="66">
        <v>275</v>
      </c>
      <c r="F17" s="67">
        <v>305</v>
      </c>
      <c r="G17" s="39">
        <f t="shared" si="11"/>
        <v>1276900</v>
      </c>
      <c r="H17" s="50">
        <f t="shared" si="0"/>
        <v>319225</v>
      </c>
      <c r="I17" s="50">
        <f t="shared" si="12"/>
        <v>282.5</v>
      </c>
      <c r="J17" s="50">
        <f t="shared" si="1"/>
        <v>17.361111111110795</v>
      </c>
      <c r="K17" s="20"/>
      <c r="L17" s="42">
        <v>8</v>
      </c>
      <c r="M17" s="25">
        <f t="shared" si="13"/>
        <v>75625</v>
      </c>
      <c r="N17" s="25">
        <f t="shared" si="2"/>
        <v>75625</v>
      </c>
      <c r="O17" s="25">
        <f t="shared" si="2"/>
        <v>75625</v>
      </c>
      <c r="P17" s="26">
        <f t="shared" si="2"/>
        <v>93025</v>
      </c>
      <c r="Q17" s="20"/>
      <c r="R17" s="42">
        <v>8</v>
      </c>
      <c r="S17" s="25">
        <f t="shared" si="3"/>
        <v>75625</v>
      </c>
      <c r="T17" s="25">
        <f t="shared" si="4"/>
        <v>75625</v>
      </c>
      <c r="U17" s="25">
        <f t="shared" si="5"/>
        <v>75625</v>
      </c>
      <c r="V17" s="26">
        <f t="shared" si="6"/>
        <v>93025</v>
      </c>
      <c r="X17" s="42">
        <v>8</v>
      </c>
      <c r="Y17" s="235">
        <f t="shared" si="7"/>
        <v>1.1736111111110701</v>
      </c>
      <c r="Z17" s="54">
        <f t="shared" si="8"/>
        <v>2.5069444444445645</v>
      </c>
      <c r="AA17" s="54">
        <f t="shared" si="9"/>
        <v>105.0625</v>
      </c>
      <c r="AB17" s="236">
        <f t="shared" si="10"/>
        <v>115.5625</v>
      </c>
    </row>
    <row r="18" spans="2:28" x14ac:dyDescent="0.25">
      <c r="B18" s="65">
        <v>9</v>
      </c>
      <c r="C18" s="66">
        <v>280</v>
      </c>
      <c r="D18" s="66">
        <v>290</v>
      </c>
      <c r="E18" s="66">
        <v>300</v>
      </c>
      <c r="F18" s="67">
        <v>290</v>
      </c>
      <c r="G18" s="39">
        <f t="shared" si="11"/>
        <v>1345600</v>
      </c>
      <c r="H18" s="50">
        <f t="shared" si="0"/>
        <v>336400</v>
      </c>
      <c r="I18" s="50">
        <f t="shared" si="12"/>
        <v>290</v>
      </c>
      <c r="J18" s="50">
        <f t="shared" si="1"/>
        <v>117.36111111111194</v>
      </c>
      <c r="K18" s="20"/>
      <c r="L18" s="42">
        <v>9</v>
      </c>
      <c r="M18" s="25">
        <f t="shared" si="13"/>
        <v>78400</v>
      </c>
      <c r="N18" s="25">
        <f t="shared" si="2"/>
        <v>84100</v>
      </c>
      <c r="O18" s="25">
        <f t="shared" si="2"/>
        <v>90000</v>
      </c>
      <c r="P18" s="26">
        <f t="shared" si="2"/>
        <v>84100</v>
      </c>
      <c r="Q18" s="20"/>
      <c r="R18" s="42">
        <v>9</v>
      </c>
      <c r="S18" s="25">
        <f t="shared" si="3"/>
        <v>78400</v>
      </c>
      <c r="T18" s="25">
        <f t="shared" si="4"/>
        <v>84100</v>
      </c>
      <c r="U18" s="25">
        <f t="shared" si="5"/>
        <v>90000</v>
      </c>
      <c r="V18" s="26">
        <f t="shared" si="6"/>
        <v>84100</v>
      </c>
      <c r="X18" s="42">
        <v>9</v>
      </c>
      <c r="Y18" s="235">
        <f t="shared" si="7"/>
        <v>2.0069444444444979</v>
      </c>
      <c r="Z18" s="54">
        <f t="shared" si="8"/>
        <v>35.006944444443995</v>
      </c>
      <c r="AA18" s="54">
        <f t="shared" si="9"/>
        <v>52.5625</v>
      </c>
      <c r="AB18" s="236">
        <f t="shared" si="10"/>
        <v>138.0625</v>
      </c>
    </row>
    <row r="19" spans="2:28" x14ac:dyDescent="0.25">
      <c r="B19" s="65">
        <v>10</v>
      </c>
      <c r="C19" s="66">
        <v>320</v>
      </c>
      <c r="D19" s="66">
        <v>290</v>
      </c>
      <c r="E19" s="66">
        <v>300</v>
      </c>
      <c r="F19" s="67">
        <v>290</v>
      </c>
      <c r="G19" s="39">
        <f t="shared" si="11"/>
        <v>1440000</v>
      </c>
      <c r="H19" s="50">
        <f t="shared" si="0"/>
        <v>360000</v>
      </c>
      <c r="I19" s="50">
        <f t="shared" si="12"/>
        <v>300</v>
      </c>
      <c r="J19" s="50">
        <f t="shared" si="1"/>
        <v>950.69444444444673</v>
      </c>
      <c r="K19" s="20"/>
      <c r="L19" s="42">
        <v>10</v>
      </c>
      <c r="M19" s="25">
        <f t="shared" si="13"/>
        <v>102400</v>
      </c>
      <c r="N19" s="25">
        <f t="shared" si="2"/>
        <v>84100</v>
      </c>
      <c r="O19" s="25">
        <f t="shared" si="2"/>
        <v>90000</v>
      </c>
      <c r="P19" s="26">
        <f t="shared" si="2"/>
        <v>84100</v>
      </c>
      <c r="Q19" s="20"/>
      <c r="R19" s="42">
        <v>10</v>
      </c>
      <c r="S19" s="25">
        <f t="shared" si="3"/>
        <v>102400</v>
      </c>
      <c r="T19" s="25">
        <f t="shared" si="4"/>
        <v>84100</v>
      </c>
      <c r="U19" s="25">
        <f t="shared" si="5"/>
        <v>90000</v>
      </c>
      <c r="V19" s="26">
        <f t="shared" si="6"/>
        <v>84100</v>
      </c>
      <c r="X19" s="42">
        <v>10</v>
      </c>
      <c r="Y19" s="235">
        <f t="shared" si="7"/>
        <v>817.00694444444332</v>
      </c>
      <c r="Z19" s="54">
        <f t="shared" si="8"/>
        <v>16.67361111111142</v>
      </c>
      <c r="AA19" s="54">
        <f t="shared" si="9"/>
        <v>7.5625</v>
      </c>
      <c r="AB19" s="236">
        <f t="shared" si="10"/>
        <v>473.0625</v>
      </c>
    </row>
    <row r="20" spans="2:28" x14ac:dyDescent="0.25">
      <c r="B20" s="65">
        <v>11</v>
      </c>
      <c r="C20" s="66">
        <v>300</v>
      </c>
      <c r="D20" s="66">
        <v>300</v>
      </c>
      <c r="E20" s="66">
        <v>310</v>
      </c>
      <c r="F20" s="67">
        <v>300</v>
      </c>
      <c r="G20" s="39">
        <f t="shared" si="11"/>
        <v>1464100</v>
      </c>
      <c r="H20" s="50">
        <f t="shared" si="0"/>
        <v>366025</v>
      </c>
      <c r="I20" s="50">
        <f t="shared" si="12"/>
        <v>302.5</v>
      </c>
      <c r="J20" s="50">
        <f t="shared" si="1"/>
        <v>1284.0277777777806</v>
      </c>
      <c r="K20" s="20"/>
      <c r="L20" s="42">
        <v>11</v>
      </c>
      <c r="M20" s="25">
        <f t="shared" si="13"/>
        <v>90000</v>
      </c>
      <c r="N20" s="25">
        <f t="shared" si="2"/>
        <v>90000</v>
      </c>
      <c r="O20" s="25">
        <f t="shared" si="2"/>
        <v>96100</v>
      </c>
      <c r="P20" s="26">
        <f t="shared" si="2"/>
        <v>90000</v>
      </c>
      <c r="Q20" s="20"/>
      <c r="R20" s="42">
        <v>11</v>
      </c>
      <c r="S20" s="25">
        <f t="shared" si="3"/>
        <v>90000</v>
      </c>
      <c r="T20" s="25">
        <f t="shared" si="4"/>
        <v>90000</v>
      </c>
      <c r="U20" s="25">
        <f t="shared" si="5"/>
        <v>96100</v>
      </c>
      <c r="V20" s="26">
        <f t="shared" si="6"/>
        <v>90000</v>
      </c>
      <c r="X20" s="42">
        <v>11</v>
      </c>
      <c r="Y20" s="235">
        <f t="shared" si="7"/>
        <v>37.006944444444215</v>
      </c>
      <c r="Z20" s="54">
        <f t="shared" si="8"/>
        <v>11.673611111110851</v>
      </c>
      <c r="AA20" s="54">
        <f t="shared" si="9"/>
        <v>22.5625</v>
      </c>
      <c r="AB20" s="236">
        <f t="shared" si="10"/>
        <v>203.0625</v>
      </c>
    </row>
    <row r="21" spans="2:28" x14ac:dyDescent="0.25">
      <c r="B21" s="65">
        <v>12</v>
      </c>
      <c r="C21" s="66">
        <v>270</v>
      </c>
      <c r="D21" s="66">
        <v>250</v>
      </c>
      <c r="E21" s="66">
        <v>330</v>
      </c>
      <c r="F21" s="67">
        <v>370</v>
      </c>
      <c r="G21" s="39">
        <f t="shared" si="11"/>
        <v>1488400</v>
      </c>
      <c r="H21" s="50">
        <f t="shared" si="0"/>
        <v>372100</v>
      </c>
      <c r="I21" s="50">
        <f t="shared" si="12"/>
        <v>305</v>
      </c>
      <c r="J21" s="50">
        <f t="shared" si="1"/>
        <v>1667.3611111111143</v>
      </c>
      <c r="K21" s="20"/>
      <c r="L21" s="42">
        <v>12</v>
      </c>
      <c r="M21" s="25">
        <f t="shared" si="13"/>
        <v>72900</v>
      </c>
      <c r="N21" s="25">
        <f t="shared" si="2"/>
        <v>62500</v>
      </c>
      <c r="O21" s="25">
        <f t="shared" si="2"/>
        <v>108900</v>
      </c>
      <c r="P21" s="26">
        <f t="shared" si="2"/>
        <v>136900</v>
      </c>
      <c r="Q21" s="20"/>
      <c r="R21" s="42">
        <v>12</v>
      </c>
      <c r="S21" s="25">
        <f t="shared" si="3"/>
        <v>72900</v>
      </c>
      <c r="T21" s="25">
        <f t="shared" si="4"/>
        <v>62500</v>
      </c>
      <c r="U21" s="25">
        <f t="shared" si="5"/>
        <v>108900</v>
      </c>
      <c r="V21" s="26">
        <f t="shared" si="6"/>
        <v>136900</v>
      </c>
      <c r="X21" s="42">
        <v>12</v>
      </c>
      <c r="Y21" s="235">
        <f t="shared" si="7"/>
        <v>697.84027777777874</v>
      </c>
      <c r="Z21" s="54">
        <f t="shared" si="8"/>
        <v>2409.173611111115</v>
      </c>
      <c r="AA21" s="54">
        <f t="shared" si="9"/>
        <v>495.0625</v>
      </c>
      <c r="AB21" s="236">
        <f t="shared" si="10"/>
        <v>2835.5625</v>
      </c>
    </row>
    <row r="22" spans="2:28" x14ac:dyDescent="0.25">
      <c r="B22" s="65">
        <v>13</v>
      </c>
      <c r="C22" s="66">
        <v>320</v>
      </c>
      <c r="D22" s="66">
        <v>330</v>
      </c>
      <c r="E22" s="66">
        <v>330</v>
      </c>
      <c r="F22" s="67">
        <v>330</v>
      </c>
      <c r="G22" s="39">
        <f t="shared" si="11"/>
        <v>1716100</v>
      </c>
      <c r="H22" s="50">
        <f t="shared" si="0"/>
        <v>429025</v>
      </c>
      <c r="I22" s="50">
        <f t="shared" si="12"/>
        <v>327.5</v>
      </c>
      <c r="J22" s="50">
        <f t="shared" si="1"/>
        <v>7367.3611111111177</v>
      </c>
      <c r="K22" s="20"/>
      <c r="L22" s="42">
        <v>13</v>
      </c>
      <c r="M22" s="25">
        <f t="shared" si="13"/>
        <v>102400</v>
      </c>
      <c r="N22" s="25">
        <f t="shared" si="2"/>
        <v>108900</v>
      </c>
      <c r="O22" s="25">
        <f t="shared" si="2"/>
        <v>108900</v>
      </c>
      <c r="P22" s="26">
        <f t="shared" si="2"/>
        <v>108900</v>
      </c>
      <c r="Q22" s="20"/>
      <c r="R22" s="42">
        <v>13</v>
      </c>
      <c r="S22" s="25">
        <f t="shared" si="3"/>
        <v>102400</v>
      </c>
      <c r="T22" s="25">
        <f t="shared" si="4"/>
        <v>108900</v>
      </c>
      <c r="U22" s="25">
        <f t="shared" si="5"/>
        <v>108900</v>
      </c>
      <c r="V22" s="26">
        <f t="shared" si="6"/>
        <v>108900</v>
      </c>
      <c r="X22" s="42">
        <v>13</v>
      </c>
      <c r="Y22" s="235">
        <f t="shared" si="7"/>
        <v>1.1736111111110701</v>
      </c>
      <c r="Z22" s="54">
        <f t="shared" si="8"/>
        <v>70.840277777777146</v>
      </c>
      <c r="AA22" s="54">
        <f t="shared" si="9"/>
        <v>6.25E-2</v>
      </c>
      <c r="AB22" s="236">
        <f t="shared" si="10"/>
        <v>85.5625</v>
      </c>
    </row>
    <row r="23" spans="2:28" x14ac:dyDescent="0.25">
      <c r="B23" s="65">
        <v>14</v>
      </c>
      <c r="C23" s="66">
        <v>335</v>
      </c>
      <c r="D23" s="66">
        <v>320</v>
      </c>
      <c r="E23" s="66">
        <v>335</v>
      </c>
      <c r="F23" s="67">
        <v>375</v>
      </c>
      <c r="G23" s="39">
        <f t="shared" si="11"/>
        <v>1863225</v>
      </c>
      <c r="H23" s="50">
        <f t="shared" si="0"/>
        <v>465806.25</v>
      </c>
      <c r="I23" s="50">
        <f t="shared" si="12"/>
        <v>341.25</v>
      </c>
      <c r="J23" s="50">
        <f t="shared" si="1"/>
        <v>12844.444444444453</v>
      </c>
      <c r="K23" s="20"/>
      <c r="L23" s="42">
        <v>14</v>
      </c>
      <c r="M23" s="25">
        <f t="shared" si="13"/>
        <v>112225</v>
      </c>
      <c r="N23" s="25">
        <f t="shared" si="2"/>
        <v>102400</v>
      </c>
      <c r="O23" s="25">
        <f t="shared" si="2"/>
        <v>112225</v>
      </c>
      <c r="P23" s="26">
        <f t="shared" si="2"/>
        <v>140625</v>
      </c>
      <c r="Q23" s="20"/>
      <c r="R23" s="42">
        <v>14</v>
      </c>
      <c r="S23" s="25">
        <f t="shared" si="3"/>
        <v>112225</v>
      </c>
      <c r="T23" s="25">
        <f t="shared" si="4"/>
        <v>102400</v>
      </c>
      <c r="U23" s="25">
        <f t="shared" si="5"/>
        <v>112225</v>
      </c>
      <c r="V23" s="26">
        <f t="shared" si="6"/>
        <v>140625</v>
      </c>
      <c r="X23" s="42">
        <v>14</v>
      </c>
      <c r="Y23" s="235">
        <f t="shared" si="7"/>
        <v>5.4444444444443558</v>
      </c>
      <c r="Z23" s="54">
        <f t="shared" si="8"/>
        <v>235.11111111111228</v>
      </c>
      <c r="AA23" s="54">
        <f t="shared" si="9"/>
        <v>81</v>
      </c>
      <c r="AB23" s="236">
        <f t="shared" si="10"/>
        <v>484</v>
      </c>
    </row>
    <row r="24" spans="2:28" x14ac:dyDescent="0.25">
      <c r="B24" s="68">
        <v>15</v>
      </c>
      <c r="C24" s="69">
        <v>350</v>
      </c>
      <c r="D24" s="69">
        <v>320</v>
      </c>
      <c r="E24" s="69">
        <v>340</v>
      </c>
      <c r="F24" s="70">
        <v>365</v>
      </c>
      <c r="G24" s="40">
        <f t="shared" si="11"/>
        <v>1890625</v>
      </c>
      <c r="H24" s="51">
        <f t="shared" si="0"/>
        <v>472656.25</v>
      </c>
      <c r="I24" s="51">
        <f t="shared" si="12"/>
        <v>343.75</v>
      </c>
      <c r="J24" s="51">
        <f t="shared" si="1"/>
        <v>14002.777777777786</v>
      </c>
      <c r="K24" s="20"/>
      <c r="L24" s="43">
        <v>15</v>
      </c>
      <c r="M24" s="27">
        <f t="shared" si="13"/>
        <v>122500</v>
      </c>
      <c r="N24" s="27">
        <f t="shared" si="2"/>
        <v>102400</v>
      </c>
      <c r="O24" s="27">
        <f t="shared" si="2"/>
        <v>115600</v>
      </c>
      <c r="P24" s="28">
        <f t="shared" si="2"/>
        <v>133225</v>
      </c>
      <c r="Q24" s="20"/>
      <c r="R24" s="43">
        <v>15</v>
      </c>
      <c r="S24" s="27">
        <f t="shared" si="3"/>
        <v>122500</v>
      </c>
      <c r="T24" s="27">
        <f t="shared" si="4"/>
        <v>102400</v>
      </c>
      <c r="U24" s="27">
        <f t="shared" si="5"/>
        <v>115600</v>
      </c>
      <c r="V24" s="28">
        <f t="shared" si="6"/>
        <v>133225</v>
      </c>
      <c r="X24" s="43">
        <v>15</v>
      </c>
      <c r="Y24" s="237">
        <f t="shared" si="7"/>
        <v>220.0277777777772</v>
      </c>
      <c r="Z24" s="238">
        <f t="shared" si="8"/>
        <v>318.02777777777914</v>
      </c>
      <c r="AA24" s="238">
        <f t="shared" si="9"/>
        <v>42.25</v>
      </c>
      <c r="AB24" s="239">
        <f t="shared" si="10"/>
        <v>90.25</v>
      </c>
    </row>
    <row r="25" spans="2:28" ht="18" customHeight="1" x14ac:dyDescent="0.25">
      <c r="B25" s="41"/>
      <c r="C25" s="218">
        <f>AVERAGE(C10:C24)</f>
        <v>276</v>
      </c>
      <c r="D25" s="228">
        <f t="shared" ref="D25:F25" si="14">AVERAGE(D10:D24)</f>
        <v>278.66666666666669</v>
      </c>
      <c r="E25" s="228">
        <f t="shared" si="14"/>
        <v>287.33333333333331</v>
      </c>
      <c r="F25" s="229">
        <f t="shared" si="14"/>
        <v>296.33333333333331</v>
      </c>
      <c r="G25" s="25"/>
      <c r="H25" s="25"/>
      <c r="I25" s="25"/>
      <c r="J25" s="25"/>
      <c r="K25" s="20"/>
      <c r="L25" s="18"/>
      <c r="M25" s="25"/>
      <c r="N25" s="25"/>
      <c r="O25" s="25"/>
      <c r="P25" s="25"/>
      <c r="Q25" s="20"/>
      <c r="R25" s="18"/>
      <c r="S25" s="25"/>
      <c r="T25" s="25"/>
      <c r="U25" s="25"/>
      <c r="V25" s="25"/>
      <c r="Y25" s="219"/>
      <c r="Z25" s="219"/>
    </row>
    <row r="26" spans="2:28" ht="26.25" customHeight="1" x14ac:dyDescent="0.25">
      <c r="B26" s="41"/>
      <c r="C26" s="227">
        <f>C47*(C25-$K$3)^2</f>
        <v>1105.1041666666617</v>
      </c>
      <c r="D26" s="227">
        <f>D47*(D25-$K$3)^2</f>
        <v>525.10416666665992</v>
      </c>
      <c r="E26" s="227">
        <f>E47*(E25-$K$3)^2</f>
        <v>113.4375</v>
      </c>
      <c r="F26" s="230">
        <f>F47*(F25-$K$3)^2</f>
        <v>2070.9375</v>
      </c>
      <c r="G26" s="25"/>
      <c r="H26" s="25"/>
      <c r="I26" s="25"/>
      <c r="J26" s="25"/>
      <c r="K26" s="20"/>
      <c r="L26" s="18"/>
      <c r="M26" s="25"/>
      <c r="N26" s="25"/>
      <c r="O26" s="25"/>
      <c r="P26" s="25"/>
      <c r="Q26" s="20"/>
      <c r="R26" s="18"/>
      <c r="S26" s="25"/>
      <c r="T26" s="25"/>
      <c r="U26" s="25"/>
      <c r="V26" s="25"/>
      <c r="Y26" s="219"/>
      <c r="Z26" s="219"/>
    </row>
    <row r="27" spans="2:28" ht="18" customHeight="1" x14ac:dyDescent="0.25">
      <c r="B27" s="41"/>
      <c r="C27" s="48">
        <f>SUM(C10:C24)^2</f>
        <v>17139600</v>
      </c>
      <c r="D27" s="48">
        <f t="shared" ref="D27:F27" si="15">SUM(D10:D24)^2</f>
        <v>17472400</v>
      </c>
      <c r="E27" s="48">
        <f t="shared" si="15"/>
        <v>18576100</v>
      </c>
      <c r="F27" s="49">
        <f t="shared" si="15"/>
        <v>19758025</v>
      </c>
    </row>
    <row r="28" spans="2:28" ht="17.25" customHeight="1" x14ac:dyDescent="0.25">
      <c r="B28" s="41"/>
      <c r="C28" s="296">
        <f>IF(C47&gt;0,C27/C47,0)</f>
        <v>1142640</v>
      </c>
      <c r="D28" s="296">
        <f>IF(D47&gt;0,D27/D47,0)</f>
        <v>1164826.6666666667</v>
      </c>
      <c r="E28" s="296">
        <f>IF(E47&gt;0,E27/E47,0)</f>
        <v>1238406.6666666667</v>
      </c>
      <c r="F28" s="297">
        <f>IF(F47&gt;0,F27/F47,0)</f>
        <v>1317201.6666666667</v>
      </c>
      <c r="P28"/>
      <c r="Q28"/>
      <c r="R28"/>
      <c r="S28"/>
    </row>
    <row r="29" spans="2:28" x14ac:dyDescent="0.25">
      <c r="B29" s="95"/>
      <c r="C29" s="99"/>
      <c r="D29" s="95"/>
      <c r="E29" s="99"/>
      <c r="F29" s="95"/>
      <c r="G29" s="99"/>
      <c r="H29" s="95"/>
      <c r="I29" s="99"/>
      <c r="J29" s="135"/>
      <c r="P29"/>
      <c r="Q29"/>
      <c r="R29"/>
      <c r="S29" s="23"/>
    </row>
    <row r="30" spans="2:28" x14ac:dyDescent="0.25">
      <c r="D30" s="60"/>
      <c r="M30" s="2"/>
      <c r="S30" s="18"/>
      <c r="V30"/>
    </row>
    <row r="31" spans="2:28" x14ac:dyDescent="0.25">
      <c r="B31" s="41" t="s">
        <v>0</v>
      </c>
      <c r="C31" s="8" t="s">
        <v>1</v>
      </c>
      <c r="D31" s="8" t="s">
        <v>2</v>
      </c>
      <c r="E31" s="8" t="s">
        <v>3</v>
      </c>
      <c r="F31" s="8" t="s">
        <v>4</v>
      </c>
      <c r="G31" s="41"/>
      <c r="H31" s="30"/>
      <c r="I31" s="135"/>
      <c r="J31" s="135"/>
      <c r="K31"/>
      <c r="L31" s="12" t="s">
        <v>1</v>
      </c>
      <c r="M31" s="8" t="s">
        <v>2</v>
      </c>
      <c r="N31" s="8" t="s">
        <v>3</v>
      </c>
      <c r="O31" s="11" t="s">
        <v>4</v>
      </c>
      <c r="P31"/>
      <c r="Q31" s="12" t="s">
        <v>1</v>
      </c>
      <c r="R31" s="8" t="s">
        <v>2</v>
      </c>
      <c r="S31" s="8" t="s">
        <v>3</v>
      </c>
      <c r="T31" s="11" t="s">
        <v>4</v>
      </c>
    </row>
    <row r="32" spans="2:28" x14ac:dyDescent="0.25">
      <c r="B32" s="44">
        <v>1</v>
      </c>
      <c r="C32" s="21">
        <f t="shared" ref="C32:F46" si="16">IF(LEN(TRIM(C10))&gt;0,1,0)</f>
        <v>1</v>
      </c>
      <c r="D32" s="21">
        <f t="shared" si="16"/>
        <v>1</v>
      </c>
      <c r="E32" s="21">
        <f t="shared" si="16"/>
        <v>1</v>
      </c>
      <c r="F32" s="21">
        <f t="shared" si="16"/>
        <v>1</v>
      </c>
      <c r="G32" s="45">
        <f>SUM(C32:F32)</f>
        <v>4</v>
      </c>
      <c r="H32" s="245">
        <f>G32^2</f>
        <v>16</v>
      </c>
      <c r="I32" s="99"/>
      <c r="J32" s="99"/>
      <c r="K32"/>
      <c r="L32" s="22">
        <f t="shared" ref="L32:O46" si="17">C32^2/C$47</f>
        <v>6.6666666666666666E-2</v>
      </c>
      <c r="M32" s="18">
        <f t="shared" si="17"/>
        <v>6.6666666666666666E-2</v>
      </c>
      <c r="N32" s="18">
        <f t="shared" si="17"/>
        <v>6.6666666666666666E-2</v>
      </c>
      <c r="O32" s="5">
        <f t="shared" si="17"/>
        <v>6.6666666666666666E-2</v>
      </c>
      <c r="P32"/>
      <c r="Q32" s="22">
        <f t="shared" ref="Q32:T46" si="18">C32^2/$G32</f>
        <v>0.25</v>
      </c>
      <c r="R32" s="18">
        <f t="shared" si="18"/>
        <v>0.25</v>
      </c>
      <c r="S32" s="18">
        <f t="shared" si="18"/>
        <v>0.25</v>
      </c>
      <c r="T32" s="5">
        <f t="shared" si="18"/>
        <v>0.25</v>
      </c>
    </row>
    <row r="33" spans="2:20" x14ac:dyDescent="0.25">
      <c r="B33" s="42">
        <v>2</v>
      </c>
      <c r="C33" s="23">
        <f t="shared" si="16"/>
        <v>1</v>
      </c>
      <c r="D33" s="23">
        <f t="shared" si="16"/>
        <v>1</v>
      </c>
      <c r="E33" s="23">
        <f t="shared" si="16"/>
        <v>1</v>
      </c>
      <c r="F33" s="23">
        <f t="shared" si="16"/>
        <v>1</v>
      </c>
      <c r="G33" s="45">
        <f t="shared" ref="G33:G46" si="19">SUM(C33:F33)</f>
        <v>4</v>
      </c>
      <c r="H33" s="45">
        <f t="shared" ref="H33:H46" si="20">G33^2</f>
        <v>16</v>
      </c>
      <c r="I33" s="99"/>
      <c r="J33" s="99"/>
      <c r="K33"/>
      <c r="L33" s="22">
        <f t="shared" si="17"/>
        <v>6.6666666666666666E-2</v>
      </c>
      <c r="M33" s="18">
        <f t="shared" si="17"/>
        <v>6.6666666666666666E-2</v>
      </c>
      <c r="N33" s="18">
        <f t="shared" si="17"/>
        <v>6.6666666666666666E-2</v>
      </c>
      <c r="O33" s="5">
        <f t="shared" si="17"/>
        <v>6.6666666666666666E-2</v>
      </c>
      <c r="P33"/>
      <c r="Q33" s="22">
        <f t="shared" si="18"/>
        <v>0.25</v>
      </c>
      <c r="R33" s="18">
        <f t="shared" si="18"/>
        <v>0.25</v>
      </c>
      <c r="S33" s="18">
        <f t="shared" si="18"/>
        <v>0.25</v>
      </c>
      <c r="T33" s="5">
        <f t="shared" si="18"/>
        <v>0.25</v>
      </c>
    </row>
    <row r="34" spans="2:20" x14ac:dyDescent="0.25">
      <c r="B34" s="42">
        <v>3</v>
      </c>
      <c r="C34" s="23">
        <f t="shared" si="16"/>
        <v>1</v>
      </c>
      <c r="D34" s="23">
        <f t="shared" si="16"/>
        <v>1</v>
      </c>
      <c r="E34" s="23">
        <f t="shared" si="16"/>
        <v>1</v>
      </c>
      <c r="F34" s="23">
        <f t="shared" si="16"/>
        <v>1</v>
      </c>
      <c r="G34" s="45">
        <f t="shared" si="19"/>
        <v>4</v>
      </c>
      <c r="H34" s="45">
        <f t="shared" si="20"/>
        <v>16</v>
      </c>
      <c r="I34" s="99"/>
      <c r="J34" s="99"/>
      <c r="K34"/>
      <c r="L34" s="22">
        <f t="shared" si="17"/>
        <v>6.6666666666666666E-2</v>
      </c>
      <c r="M34" s="18">
        <f t="shared" si="17"/>
        <v>6.6666666666666666E-2</v>
      </c>
      <c r="N34" s="18">
        <f t="shared" si="17"/>
        <v>6.6666666666666666E-2</v>
      </c>
      <c r="O34" s="5">
        <f t="shared" si="17"/>
        <v>6.6666666666666666E-2</v>
      </c>
      <c r="P34"/>
      <c r="Q34" s="22">
        <f t="shared" si="18"/>
        <v>0.25</v>
      </c>
      <c r="R34" s="18">
        <f t="shared" si="18"/>
        <v>0.25</v>
      </c>
      <c r="S34" s="18">
        <f t="shared" si="18"/>
        <v>0.25</v>
      </c>
      <c r="T34" s="5">
        <f t="shared" si="18"/>
        <v>0.25</v>
      </c>
    </row>
    <row r="35" spans="2:20" x14ac:dyDescent="0.25">
      <c r="B35" s="42">
        <v>4</v>
      </c>
      <c r="C35" s="23">
        <f t="shared" si="16"/>
        <v>1</v>
      </c>
      <c r="D35" s="23">
        <f t="shared" si="16"/>
        <v>1</v>
      </c>
      <c r="E35" s="23">
        <f t="shared" si="16"/>
        <v>1</v>
      </c>
      <c r="F35" s="23">
        <f t="shared" si="16"/>
        <v>1</v>
      </c>
      <c r="G35" s="45">
        <f t="shared" si="19"/>
        <v>4</v>
      </c>
      <c r="H35" s="45">
        <f t="shared" si="20"/>
        <v>16</v>
      </c>
      <c r="I35" s="99"/>
      <c r="J35" s="99"/>
      <c r="K35"/>
      <c r="L35" s="22">
        <f t="shared" si="17"/>
        <v>6.6666666666666666E-2</v>
      </c>
      <c r="M35" s="18">
        <f t="shared" si="17"/>
        <v>6.6666666666666666E-2</v>
      </c>
      <c r="N35" s="18">
        <f t="shared" si="17"/>
        <v>6.6666666666666666E-2</v>
      </c>
      <c r="O35" s="5">
        <f t="shared" si="17"/>
        <v>6.6666666666666666E-2</v>
      </c>
      <c r="P35"/>
      <c r="Q35" s="22">
        <f t="shared" si="18"/>
        <v>0.25</v>
      </c>
      <c r="R35" s="18">
        <f t="shared" si="18"/>
        <v>0.25</v>
      </c>
      <c r="S35" s="18">
        <f t="shared" si="18"/>
        <v>0.25</v>
      </c>
      <c r="T35" s="5">
        <f t="shared" si="18"/>
        <v>0.25</v>
      </c>
    </row>
    <row r="36" spans="2:20" x14ac:dyDescent="0.25">
      <c r="B36" s="42">
        <v>5</v>
      </c>
      <c r="C36" s="23">
        <f t="shared" si="16"/>
        <v>1</v>
      </c>
      <c r="D36" s="23">
        <f t="shared" si="16"/>
        <v>1</v>
      </c>
      <c r="E36" s="23">
        <f t="shared" si="16"/>
        <v>1</v>
      </c>
      <c r="F36" s="23">
        <f t="shared" si="16"/>
        <v>1</v>
      </c>
      <c r="G36" s="45">
        <f t="shared" si="19"/>
        <v>4</v>
      </c>
      <c r="H36" s="45">
        <f t="shared" si="20"/>
        <v>16</v>
      </c>
      <c r="I36" s="99"/>
      <c r="J36" s="99"/>
      <c r="K36"/>
      <c r="L36" s="22">
        <f t="shared" si="17"/>
        <v>6.6666666666666666E-2</v>
      </c>
      <c r="M36" s="18">
        <f t="shared" si="17"/>
        <v>6.6666666666666666E-2</v>
      </c>
      <c r="N36" s="18">
        <f t="shared" si="17"/>
        <v>6.6666666666666666E-2</v>
      </c>
      <c r="O36" s="5">
        <f t="shared" si="17"/>
        <v>6.6666666666666666E-2</v>
      </c>
      <c r="P36"/>
      <c r="Q36" s="22">
        <f t="shared" si="18"/>
        <v>0.25</v>
      </c>
      <c r="R36" s="18">
        <f t="shared" si="18"/>
        <v>0.25</v>
      </c>
      <c r="S36" s="18">
        <f t="shared" si="18"/>
        <v>0.25</v>
      </c>
      <c r="T36" s="5">
        <f t="shared" si="18"/>
        <v>0.25</v>
      </c>
    </row>
    <row r="37" spans="2:20" x14ac:dyDescent="0.25">
      <c r="B37" s="42">
        <v>6</v>
      </c>
      <c r="C37" s="23">
        <f t="shared" si="16"/>
        <v>1</v>
      </c>
      <c r="D37" s="23">
        <f t="shared" si="16"/>
        <v>1</v>
      </c>
      <c r="E37" s="23">
        <f t="shared" si="16"/>
        <v>1</v>
      </c>
      <c r="F37" s="23">
        <f t="shared" si="16"/>
        <v>1</v>
      </c>
      <c r="G37" s="45">
        <f t="shared" si="19"/>
        <v>4</v>
      </c>
      <c r="H37" s="45">
        <f t="shared" si="20"/>
        <v>16</v>
      </c>
      <c r="I37" s="99"/>
      <c r="J37" s="99"/>
      <c r="K37"/>
      <c r="L37" s="22">
        <f t="shared" si="17"/>
        <v>6.6666666666666666E-2</v>
      </c>
      <c r="M37" s="18">
        <f t="shared" si="17"/>
        <v>6.6666666666666666E-2</v>
      </c>
      <c r="N37" s="18">
        <f t="shared" si="17"/>
        <v>6.6666666666666666E-2</v>
      </c>
      <c r="O37" s="5">
        <f t="shared" si="17"/>
        <v>6.6666666666666666E-2</v>
      </c>
      <c r="P37"/>
      <c r="Q37" s="22">
        <f t="shared" si="18"/>
        <v>0.25</v>
      </c>
      <c r="R37" s="18">
        <f t="shared" si="18"/>
        <v>0.25</v>
      </c>
      <c r="S37" s="18">
        <f t="shared" si="18"/>
        <v>0.25</v>
      </c>
      <c r="T37" s="5">
        <f t="shared" si="18"/>
        <v>0.25</v>
      </c>
    </row>
    <row r="38" spans="2:20" x14ac:dyDescent="0.25">
      <c r="B38" s="42">
        <v>7</v>
      </c>
      <c r="C38" s="23">
        <f t="shared" si="16"/>
        <v>1</v>
      </c>
      <c r="D38" s="23">
        <f t="shared" si="16"/>
        <v>1</v>
      </c>
      <c r="E38" s="23">
        <f t="shared" si="16"/>
        <v>1</v>
      </c>
      <c r="F38" s="23">
        <f t="shared" si="16"/>
        <v>1</v>
      </c>
      <c r="G38" s="45">
        <f t="shared" si="19"/>
        <v>4</v>
      </c>
      <c r="H38" s="45">
        <f t="shared" si="20"/>
        <v>16</v>
      </c>
      <c r="I38" s="99"/>
      <c r="J38" s="99"/>
      <c r="K38"/>
      <c r="L38" s="22">
        <f t="shared" si="17"/>
        <v>6.6666666666666666E-2</v>
      </c>
      <c r="M38" s="18">
        <f t="shared" si="17"/>
        <v>6.6666666666666666E-2</v>
      </c>
      <c r="N38" s="18">
        <f t="shared" si="17"/>
        <v>6.6666666666666666E-2</v>
      </c>
      <c r="O38" s="5">
        <f t="shared" si="17"/>
        <v>6.6666666666666666E-2</v>
      </c>
      <c r="P38"/>
      <c r="Q38" s="22">
        <f t="shared" si="18"/>
        <v>0.25</v>
      </c>
      <c r="R38" s="18">
        <f t="shared" si="18"/>
        <v>0.25</v>
      </c>
      <c r="S38" s="18">
        <f t="shared" si="18"/>
        <v>0.25</v>
      </c>
      <c r="T38" s="5">
        <f t="shared" si="18"/>
        <v>0.25</v>
      </c>
    </row>
    <row r="39" spans="2:20" x14ac:dyDescent="0.25">
      <c r="B39" s="42">
        <v>8</v>
      </c>
      <c r="C39" s="23">
        <f t="shared" si="16"/>
        <v>1</v>
      </c>
      <c r="D39" s="23">
        <f t="shared" si="16"/>
        <v>1</v>
      </c>
      <c r="E39" s="23">
        <f t="shared" si="16"/>
        <v>1</v>
      </c>
      <c r="F39" s="23">
        <f t="shared" si="16"/>
        <v>1</v>
      </c>
      <c r="G39" s="45">
        <f t="shared" si="19"/>
        <v>4</v>
      </c>
      <c r="H39" s="45">
        <f t="shared" si="20"/>
        <v>16</v>
      </c>
      <c r="I39" s="99"/>
      <c r="J39" s="99"/>
      <c r="K39"/>
      <c r="L39" s="22">
        <f t="shared" si="17"/>
        <v>6.6666666666666666E-2</v>
      </c>
      <c r="M39" s="18">
        <f t="shared" si="17"/>
        <v>6.6666666666666666E-2</v>
      </c>
      <c r="N39" s="18">
        <f t="shared" si="17"/>
        <v>6.6666666666666666E-2</v>
      </c>
      <c r="O39" s="5">
        <f t="shared" si="17"/>
        <v>6.6666666666666666E-2</v>
      </c>
      <c r="P39"/>
      <c r="Q39" s="22">
        <f t="shared" si="18"/>
        <v>0.25</v>
      </c>
      <c r="R39" s="18">
        <f t="shared" si="18"/>
        <v>0.25</v>
      </c>
      <c r="S39" s="18">
        <f t="shared" si="18"/>
        <v>0.25</v>
      </c>
      <c r="T39" s="5">
        <f t="shared" si="18"/>
        <v>0.25</v>
      </c>
    </row>
    <row r="40" spans="2:20" x14ac:dyDescent="0.25">
      <c r="B40" s="42">
        <v>9</v>
      </c>
      <c r="C40" s="23">
        <f t="shared" si="16"/>
        <v>1</v>
      </c>
      <c r="D40" s="23">
        <f t="shared" si="16"/>
        <v>1</v>
      </c>
      <c r="E40" s="23">
        <f t="shared" si="16"/>
        <v>1</v>
      </c>
      <c r="F40" s="23">
        <f t="shared" si="16"/>
        <v>1</v>
      </c>
      <c r="G40" s="45">
        <f t="shared" si="19"/>
        <v>4</v>
      </c>
      <c r="H40" s="45">
        <f t="shared" si="20"/>
        <v>16</v>
      </c>
      <c r="I40" s="99"/>
      <c r="J40" s="99"/>
      <c r="K40"/>
      <c r="L40" s="22">
        <f t="shared" si="17"/>
        <v>6.6666666666666666E-2</v>
      </c>
      <c r="M40" s="18">
        <f t="shared" si="17"/>
        <v>6.6666666666666666E-2</v>
      </c>
      <c r="N40" s="18">
        <f t="shared" si="17"/>
        <v>6.6666666666666666E-2</v>
      </c>
      <c r="O40" s="5">
        <f t="shared" si="17"/>
        <v>6.6666666666666666E-2</v>
      </c>
      <c r="P40"/>
      <c r="Q40" s="22">
        <f t="shared" si="18"/>
        <v>0.25</v>
      </c>
      <c r="R40" s="18">
        <f t="shared" si="18"/>
        <v>0.25</v>
      </c>
      <c r="S40" s="18">
        <f t="shared" si="18"/>
        <v>0.25</v>
      </c>
      <c r="T40" s="5">
        <f t="shared" si="18"/>
        <v>0.25</v>
      </c>
    </row>
    <row r="41" spans="2:20" x14ac:dyDescent="0.25">
      <c r="B41" s="42">
        <v>10</v>
      </c>
      <c r="C41" s="23">
        <f t="shared" si="16"/>
        <v>1</v>
      </c>
      <c r="D41" s="23">
        <f t="shared" si="16"/>
        <v>1</v>
      </c>
      <c r="E41" s="23">
        <f t="shared" si="16"/>
        <v>1</v>
      </c>
      <c r="F41" s="23">
        <f t="shared" si="16"/>
        <v>1</v>
      </c>
      <c r="G41" s="45">
        <f t="shared" si="19"/>
        <v>4</v>
      </c>
      <c r="H41" s="45">
        <f t="shared" si="20"/>
        <v>16</v>
      </c>
      <c r="I41" s="99"/>
      <c r="J41" s="99"/>
      <c r="K41"/>
      <c r="L41" s="22">
        <f t="shared" si="17"/>
        <v>6.6666666666666666E-2</v>
      </c>
      <c r="M41" s="18">
        <f t="shared" si="17"/>
        <v>6.6666666666666666E-2</v>
      </c>
      <c r="N41" s="18">
        <f t="shared" si="17"/>
        <v>6.6666666666666666E-2</v>
      </c>
      <c r="O41" s="5">
        <f t="shared" si="17"/>
        <v>6.6666666666666666E-2</v>
      </c>
      <c r="P41"/>
      <c r="Q41" s="22">
        <f t="shared" si="18"/>
        <v>0.25</v>
      </c>
      <c r="R41" s="18">
        <f t="shared" si="18"/>
        <v>0.25</v>
      </c>
      <c r="S41" s="18">
        <f t="shared" si="18"/>
        <v>0.25</v>
      </c>
      <c r="T41" s="5">
        <f t="shared" si="18"/>
        <v>0.25</v>
      </c>
    </row>
    <row r="42" spans="2:20" x14ac:dyDescent="0.25">
      <c r="B42" s="42">
        <v>11</v>
      </c>
      <c r="C42" s="23">
        <f t="shared" si="16"/>
        <v>1</v>
      </c>
      <c r="D42" s="23">
        <f t="shared" si="16"/>
        <v>1</v>
      </c>
      <c r="E42" s="23">
        <f t="shared" si="16"/>
        <v>1</v>
      </c>
      <c r="F42" s="23">
        <f t="shared" si="16"/>
        <v>1</v>
      </c>
      <c r="G42" s="45">
        <f t="shared" si="19"/>
        <v>4</v>
      </c>
      <c r="H42" s="45">
        <f t="shared" si="20"/>
        <v>16</v>
      </c>
      <c r="I42" s="99"/>
      <c r="J42" s="99"/>
      <c r="K42"/>
      <c r="L42" s="22">
        <f t="shared" si="17"/>
        <v>6.6666666666666666E-2</v>
      </c>
      <c r="M42" s="18">
        <f t="shared" si="17"/>
        <v>6.6666666666666666E-2</v>
      </c>
      <c r="N42" s="18">
        <f t="shared" si="17"/>
        <v>6.6666666666666666E-2</v>
      </c>
      <c r="O42" s="5">
        <f t="shared" si="17"/>
        <v>6.6666666666666666E-2</v>
      </c>
      <c r="P42"/>
      <c r="Q42" s="22">
        <f t="shared" si="18"/>
        <v>0.25</v>
      </c>
      <c r="R42" s="18">
        <f t="shared" si="18"/>
        <v>0.25</v>
      </c>
      <c r="S42" s="18">
        <f t="shared" si="18"/>
        <v>0.25</v>
      </c>
      <c r="T42" s="5">
        <f t="shared" si="18"/>
        <v>0.25</v>
      </c>
    </row>
    <row r="43" spans="2:20" x14ac:dyDescent="0.25">
      <c r="B43" s="42">
        <v>12</v>
      </c>
      <c r="C43" s="23">
        <f t="shared" si="16"/>
        <v>1</v>
      </c>
      <c r="D43" s="23">
        <f t="shared" si="16"/>
        <v>1</v>
      </c>
      <c r="E43" s="23">
        <f t="shared" si="16"/>
        <v>1</v>
      </c>
      <c r="F43" s="23">
        <f t="shared" si="16"/>
        <v>1</v>
      </c>
      <c r="G43" s="45">
        <f t="shared" si="19"/>
        <v>4</v>
      </c>
      <c r="H43" s="45">
        <f t="shared" si="20"/>
        <v>16</v>
      </c>
      <c r="I43" s="99"/>
      <c r="J43" s="99"/>
      <c r="K43"/>
      <c r="L43" s="22">
        <f t="shared" si="17"/>
        <v>6.6666666666666666E-2</v>
      </c>
      <c r="M43" s="18">
        <f t="shared" si="17"/>
        <v>6.6666666666666666E-2</v>
      </c>
      <c r="N43" s="18">
        <f t="shared" si="17"/>
        <v>6.6666666666666666E-2</v>
      </c>
      <c r="O43" s="5">
        <f t="shared" si="17"/>
        <v>6.6666666666666666E-2</v>
      </c>
      <c r="P43"/>
      <c r="Q43" s="22">
        <f t="shared" si="18"/>
        <v>0.25</v>
      </c>
      <c r="R43" s="18">
        <f t="shared" si="18"/>
        <v>0.25</v>
      </c>
      <c r="S43" s="18">
        <f t="shared" si="18"/>
        <v>0.25</v>
      </c>
      <c r="T43" s="5">
        <f t="shared" si="18"/>
        <v>0.25</v>
      </c>
    </row>
    <row r="44" spans="2:20" x14ac:dyDescent="0.25">
      <c r="B44" s="42">
        <v>13</v>
      </c>
      <c r="C44" s="23">
        <f t="shared" si="16"/>
        <v>1</v>
      </c>
      <c r="D44" s="23">
        <f t="shared" si="16"/>
        <v>1</v>
      </c>
      <c r="E44" s="23">
        <f t="shared" si="16"/>
        <v>1</v>
      </c>
      <c r="F44" s="23">
        <f t="shared" si="16"/>
        <v>1</v>
      </c>
      <c r="G44" s="45">
        <f t="shared" si="19"/>
        <v>4</v>
      </c>
      <c r="H44" s="45">
        <f t="shared" si="20"/>
        <v>16</v>
      </c>
      <c r="I44" s="99"/>
      <c r="J44" s="99"/>
      <c r="K44"/>
      <c r="L44" s="22">
        <f t="shared" si="17"/>
        <v>6.6666666666666666E-2</v>
      </c>
      <c r="M44" s="18">
        <f t="shared" si="17"/>
        <v>6.6666666666666666E-2</v>
      </c>
      <c r="N44" s="18">
        <f t="shared" si="17"/>
        <v>6.6666666666666666E-2</v>
      </c>
      <c r="O44" s="5">
        <f t="shared" si="17"/>
        <v>6.6666666666666666E-2</v>
      </c>
      <c r="P44"/>
      <c r="Q44" s="22">
        <f t="shared" si="18"/>
        <v>0.25</v>
      </c>
      <c r="R44" s="18">
        <f t="shared" si="18"/>
        <v>0.25</v>
      </c>
      <c r="S44" s="18">
        <f t="shared" si="18"/>
        <v>0.25</v>
      </c>
      <c r="T44" s="5">
        <f t="shared" si="18"/>
        <v>0.25</v>
      </c>
    </row>
    <row r="45" spans="2:20" x14ac:dyDescent="0.25">
      <c r="B45" s="42">
        <v>14</v>
      </c>
      <c r="C45" s="23">
        <f t="shared" si="16"/>
        <v>1</v>
      </c>
      <c r="D45" s="23">
        <f t="shared" si="16"/>
        <v>1</v>
      </c>
      <c r="E45" s="23">
        <f t="shared" si="16"/>
        <v>1</v>
      </c>
      <c r="F45" s="23">
        <f t="shared" si="16"/>
        <v>1</v>
      </c>
      <c r="G45" s="45">
        <f t="shared" si="19"/>
        <v>4</v>
      </c>
      <c r="H45" s="45">
        <f t="shared" si="20"/>
        <v>16</v>
      </c>
      <c r="I45" s="99"/>
      <c r="J45" s="99"/>
      <c r="K45"/>
      <c r="L45" s="22">
        <f t="shared" si="17"/>
        <v>6.6666666666666666E-2</v>
      </c>
      <c r="M45" s="18">
        <f t="shared" si="17"/>
        <v>6.6666666666666666E-2</v>
      </c>
      <c r="N45" s="18">
        <f t="shared" si="17"/>
        <v>6.6666666666666666E-2</v>
      </c>
      <c r="O45" s="5">
        <f t="shared" si="17"/>
        <v>6.6666666666666666E-2</v>
      </c>
      <c r="P45"/>
      <c r="Q45" s="22">
        <f t="shared" si="18"/>
        <v>0.25</v>
      </c>
      <c r="R45" s="18">
        <f t="shared" si="18"/>
        <v>0.25</v>
      </c>
      <c r="S45" s="18">
        <f t="shared" si="18"/>
        <v>0.25</v>
      </c>
      <c r="T45" s="5">
        <f t="shared" si="18"/>
        <v>0.25</v>
      </c>
    </row>
    <row r="46" spans="2:20" x14ac:dyDescent="0.25">
      <c r="B46" s="43">
        <v>15</v>
      </c>
      <c r="C46" s="60">
        <f t="shared" si="16"/>
        <v>1</v>
      </c>
      <c r="D46" s="60">
        <f t="shared" si="16"/>
        <v>1</v>
      </c>
      <c r="E46" s="60">
        <f t="shared" si="16"/>
        <v>1</v>
      </c>
      <c r="F46" s="60">
        <f t="shared" si="16"/>
        <v>1</v>
      </c>
      <c r="G46" s="45">
        <f t="shared" si="19"/>
        <v>4</v>
      </c>
      <c r="H46" s="45">
        <f t="shared" si="20"/>
        <v>16</v>
      </c>
      <c r="I46" s="99"/>
      <c r="J46" s="99"/>
      <c r="K46"/>
      <c r="L46" s="24">
        <f t="shared" si="17"/>
        <v>6.6666666666666666E-2</v>
      </c>
      <c r="M46" s="2">
        <f t="shared" si="17"/>
        <v>6.6666666666666666E-2</v>
      </c>
      <c r="N46" s="2">
        <f t="shared" si="17"/>
        <v>6.6666666666666666E-2</v>
      </c>
      <c r="O46" s="31">
        <f t="shared" si="17"/>
        <v>6.6666666666666666E-2</v>
      </c>
      <c r="P46"/>
      <c r="Q46" s="24">
        <f t="shared" si="18"/>
        <v>0.25</v>
      </c>
      <c r="R46" s="2">
        <f t="shared" si="18"/>
        <v>0.25</v>
      </c>
      <c r="S46" s="2">
        <f t="shared" si="18"/>
        <v>0.25</v>
      </c>
      <c r="T46" s="31">
        <f t="shared" si="18"/>
        <v>0.25</v>
      </c>
    </row>
    <row r="47" spans="2:20" x14ac:dyDescent="0.25">
      <c r="B47" s="41"/>
      <c r="C47" s="9">
        <f>SUM(C32:C46)</f>
        <v>15</v>
      </c>
      <c r="D47" s="9">
        <f t="shared" ref="D47:H47" si="21">SUM(D32:D46)</f>
        <v>15</v>
      </c>
      <c r="E47" s="9">
        <f t="shared" si="21"/>
        <v>15</v>
      </c>
      <c r="F47" s="13">
        <f t="shared" si="21"/>
        <v>15</v>
      </c>
      <c r="G47" s="85">
        <f t="shared" si="21"/>
        <v>60</v>
      </c>
      <c r="H47" s="85">
        <f t="shared" si="21"/>
        <v>240</v>
      </c>
      <c r="I47" s="231"/>
      <c r="J47" s="231"/>
      <c r="K47"/>
      <c r="L47"/>
      <c r="M47"/>
      <c r="N47"/>
      <c r="O47"/>
      <c r="P47"/>
      <c r="Q47"/>
      <c r="R47"/>
      <c r="S47"/>
      <c r="T47"/>
    </row>
    <row r="48" spans="2:20" x14ac:dyDescent="0.25">
      <c r="B48" s="41"/>
      <c r="C48" s="60">
        <f>C47^2</f>
        <v>225</v>
      </c>
      <c r="D48" s="60">
        <f t="shared" ref="D48:F48" si="22">D47^2</f>
        <v>225</v>
      </c>
      <c r="E48" s="60">
        <f t="shared" si="22"/>
        <v>225</v>
      </c>
      <c r="F48" s="10">
        <f t="shared" si="22"/>
        <v>225</v>
      </c>
      <c r="G48" s="46">
        <f>SUM(C48:F48)</f>
        <v>900</v>
      </c>
      <c r="H48" s="246"/>
      <c r="I48" s="135"/>
      <c r="J48" s="135"/>
      <c r="K48"/>
      <c r="L48"/>
      <c r="M48" s="17"/>
      <c r="N48" s="32"/>
      <c r="O48" s="15"/>
      <c r="P48" s="15"/>
      <c r="Q48" s="15"/>
      <c r="R48" s="17"/>
      <c r="S48" s="33"/>
      <c r="T48"/>
    </row>
    <row r="49" spans="2:20" x14ac:dyDescent="0.25">
      <c r="B49" s="125" t="s">
        <v>7</v>
      </c>
      <c r="C49" s="240">
        <f>H47</f>
        <v>240</v>
      </c>
      <c r="D49" s="125" t="s">
        <v>6</v>
      </c>
      <c r="E49" s="242">
        <f>G48</f>
        <v>900</v>
      </c>
      <c r="F49" s="127" t="s">
        <v>5</v>
      </c>
      <c r="G49" s="244">
        <f>SUM(Q32:T46)</f>
        <v>15</v>
      </c>
      <c r="J49" s="95"/>
      <c r="K49" s="99"/>
      <c r="L49" s="99"/>
      <c r="M49" s="99"/>
      <c r="N49" s="95"/>
      <c r="O49" s="128"/>
      <c r="P49" s="15"/>
      <c r="Q49" s="16"/>
      <c r="R49" s="17"/>
      <c r="S49" s="16"/>
      <c r="T49" s="17"/>
    </row>
    <row r="50" spans="2:20" x14ac:dyDescent="0.25">
      <c r="B50" s="126" t="s">
        <v>11</v>
      </c>
      <c r="C50" s="241">
        <f>C49/M3</f>
        <v>4</v>
      </c>
      <c r="D50" s="126" t="s">
        <v>12</v>
      </c>
      <c r="E50" s="243">
        <f>E49/M3</f>
        <v>15</v>
      </c>
      <c r="F50" s="127" t="s">
        <v>8</v>
      </c>
      <c r="G50" s="244">
        <f>SUM(L32:O46)</f>
        <v>4.0000000000000053</v>
      </c>
      <c r="J50" s="95"/>
      <c r="K50" s="142"/>
      <c r="L50" s="95"/>
      <c r="M50" s="128"/>
      <c r="N50" s="95"/>
      <c r="O50" s="128"/>
    </row>
    <row r="52" spans="2:20" x14ac:dyDescent="0.25">
      <c r="L52"/>
    </row>
    <row r="55" spans="2:20" x14ac:dyDescent="0.25">
      <c r="E55"/>
      <c r="F55"/>
    </row>
    <row r="57" spans="2:20" x14ac:dyDescent="0.25">
      <c r="D57"/>
      <c r="E57"/>
      <c r="F57"/>
    </row>
  </sheetData>
  <mergeCells count="1">
    <mergeCell ref="C8:F8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X56"/>
  <sheetViews>
    <sheetView tabSelected="1" topLeftCell="A4" workbookViewId="0">
      <selection activeCell="E19" sqref="E19"/>
    </sheetView>
  </sheetViews>
  <sheetFormatPr defaultRowHeight="15" x14ac:dyDescent="0.25"/>
  <cols>
    <col min="1" max="1" width="5.140625" customWidth="1"/>
    <col min="2" max="2" width="10.42578125" customWidth="1"/>
    <col min="3" max="3" width="11.5703125" style="1" customWidth="1"/>
    <col min="4" max="4" width="13.140625" style="1" customWidth="1"/>
    <col min="5" max="5" width="12.85546875" style="1" customWidth="1"/>
    <col min="6" max="6" width="11.5703125" style="1" customWidth="1"/>
    <col min="7" max="7" width="11.7109375" style="1" customWidth="1"/>
    <col min="8" max="8" width="11.85546875" style="1" customWidth="1"/>
    <col min="9" max="9" width="9.5703125" style="1" customWidth="1"/>
    <col min="10" max="10" width="10.7109375" style="1" customWidth="1"/>
    <col min="11" max="11" width="13.42578125" style="1" customWidth="1"/>
    <col min="12" max="12" width="9.85546875" style="1" customWidth="1"/>
    <col min="13" max="13" width="10.85546875" style="1" customWidth="1"/>
    <col min="14" max="14" width="13.42578125" style="1" customWidth="1"/>
    <col min="15" max="15" width="13.5703125" style="1" customWidth="1"/>
    <col min="16" max="16" width="8.7109375" style="1" customWidth="1"/>
    <col min="17" max="17" width="10.42578125" style="1" customWidth="1"/>
    <col min="18" max="18" width="10" style="1" customWidth="1"/>
    <col min="19" max="19" width="13" style="1" customWidth="1"/>
    <col min="20" max="20" width="13.42578125" style="1" customWidth="1"/>
    <col min="21" max="21" width="14.28515625" style="1" customWidth="1"/>
    <col min="22" max="22" width="14.140625" style="1" customWidth="1"/>
    <col min="23" max="23" width="13.28515625" style="158" customWidth="1"/>
    <col min="24" max="24" width="11.140625" style="158" customWidth="1"/>
    <col min="25" max="25" width="8.140625" customWidth="1"/>
    <col min="33" max="33" width="6" customWidth="1"/>
  </cols>
  <sheetData>
    <row r="1" spans="2:20" x14ac:dyDescent="0.25">
      <c r="B1" s="123" t="s">
        <v>15</v>
      </c>
      <c r="C1" s="327">
        <f>M2/(M3+M2+M1)</f>
        <v>0.77888019446996748</v>
      </c>
      <c r="D1" s="261"/>
      <c r="E1" s="261"/>
      <c r="G1" s="178" t="s">
        <v>20</v>
      </c>
      <c r="H1" s="327">
        <f>(M2+M1)/(M2+M1+M3)</f>
        <v>0.81468304876310316</v>
      </c>
      <c r="I1" s="271"/>
      <c r="J1" s="271"/>
      <c r="L1" s="255"/>
      <c r="M1" s="175">
        <f>(O3-O4-(M8-M7)*M3)/(M8-Q6)</f>
        <v>74.158605443260498</v>
      </c>
      <c r="O1" s="254">
        <f>G55</f>
        <v>4583237.0238095233</v>
      </c>
      <c r="Q1" s="16">
        <f>COUNTIF(C33:F40,"&gt;0")</f>
        <v>31</v>
      </c>
      <c r="S1" s="1">
        <f>(M8-O7)/(M8-Q7)</f>
        <v>1.0031550265309048</v>
      </c>
    </row>
    <row r="2" spans="2:20" x14ac:dyDescent="0.25">
      <c r="B2" s="112" t="s">
        <v>26</v>
      </c>
      <c r="C2" s="328">
        <f>M7*('Example 5.2'!N15-C9*Q4)/(M7*'Example 5.2'!N15+C9*(M6*'Example 5.2'!N16+(M8-M7-M6)*Q4))</f>
        <v>0.53340918817403404</v>
      </c>
      <c r="D2" s="272"/>
      <c r="E2" s="273"/>
      <c r="G2" s="112" t="s">
        <v>26</v>
      </c>
      <c r="H2" s="303">
        <f>(M7*'Example 5.2'!N15+M6*'Example 5.2'!N16-(M6+M7)*H9*Q4)/(M7*'Example 5.2'!N15+M6*'Example 5.2'!N16+(M8-M7-M6)*H9*Q4)</f>
        <v>0.59352899381731894</v>
      </c>
      <c r="I2" s="275"/>
      <c r="J2" s="276"/>
      <c r="L2" s="256"/>
      <c r="M2" s="176">
        <f>(O3-O1-(M8-M6)*M3)/(M8-Q7)</f>
        <v>1613.297882798764</v>
      </c>
      <c r="O2" s="252">
        <f>SUM(K46:N53)</f>
        <v>4670541.666666666</v>
      </c>
      <c r="Q2" s="92">
        <f>SUM(C13:F27)</f>
        <v>16155</v>
      </c>
      <c r="R2"/>
      <c r="S2" s="1">
        <f>(M8-O9)/(M8-Q6)</f>
        <v>1.0097382148221119</v>
      </c>
      <c r="T2" s="15"/>
    </row>
    <row r="3" spans="2:20" x14ac:dyDescent="0.25">
      <c r="B3" s="117" t="s">
        <v>17</v>
      </c>
      <c r="C3" s="258">
        <f>M7*('Example 5.2'!N15-C8*Q4)/(M7*'Example 5.2'!N15+C8*(M6*'Example 5.2'!N16+(M8-M7-M6)*Q4))</f>
        <v>0.93582070637569981</v>
      </c>
      <c r="D3" s="274" t="s">
        <v>29</v>
      </c>
      <c r="E3" s="283">
        <f>_xlfn.F.DIST.RT(E9,M7-1,E7)</f>
        <v>5.9613891409336428E-5</v>
      </c>
      <c r="G3" s="117" t="s">
        <v>17</v>
      </c>
      <c r="H3" s="304">
        <f>(M7*'Example 5.2'!N15+M6*'Example 5.2'!N16-(M6+M7)*H8*Q4)/(M7*'Example 5.2'!N15+M6*'Example 5.2'!N16+(M8-M7-M6)*H8*Q4)</f>
        <v>0.94805923973846695</v>
      </c>
      <c r="I3" s="277" t="s">
        <v>29</v>
      </c>
      <c r="J3" s="282">
        <f>_xlfn.F.DIST.RT(J9,J7,M8-M7-M6+1)</f>
        <v>1.6517525993304604E-5</v>
      </c>
      <c r="L3" s="257"/>
      <c r="M3" s="177">
        <f>(S2*(O3-O4)+S1*(O3-O1)-(O3-O5))/(S2*(M8-M7)+S1*(M8-M6)-(M8-1))</f>
        <v>383.84779482120405</v>
      </c>
      <c r="O3" s="20">
        <f>SUM(I13:L27)</f>
        <v>4682525</v>
      </c>
      <c r="Q3" s="1">
        <f>AVERAGE(C13:F27)</f>
        <v>283.42105263157896</v>
      </c>
      <c r="R3"/>
    </row>
    <row r="4" spans="2:20" x14ac:dyDescent="0.25">
      <c r="B4" s="278"/>
      <c r="C4" s="279"/>
      <c r="D4" s="21"/>
      <c r="E4" s="76"/>
      <c r="G4" s="278"/>
      <c r="H4" s="279"/>
      <c r="I4" s="21"/>
      <c r="J4" s="76"/>
      <c r="L4" s="59" t="s">
        <v>27</v>
      </c>
      <c r="M4" s="1">
        <v>0.95</v>
      </c>
      <c r="O4" s="80">
        <f>H54</f>
        <v>4660577.7191558443</v>
      </c>
      <c r="P4"/>
      <c r="Q4" s="253">
        <f>SUM(O13:R27)/(M8-M6-M7+1)</f>
        <v>406.21684566795312</v>
      </c>
      <c r="R4"/>
    </row>
    <row r="5" spans="2:20" x14ac:dyDescent="0.25">
      <c r="B5" s="22"/>
      <c r="C5" s="318">
        <f>M6*C1/(M7*(1-C1))</f>
        <v>1.7612176182114538</v>
      </c>
      <c r="D5" s="18" t="s">
        <v>35</v>
      </c>
      <c r="E5" s="321">
        <f>M6*E8/(M7*(1-E8))</f>
        <v>0.2142857142857143</v>
      </c>
      <c r="G5" s="77"/>
      <c r="H5" s="321">
        <f>M7/(M7+M6+M8*H1/(1-H1))</f>
        <v>3.046677250232098E-2</v>
      </c>
      <c r="I5" s="221"/>
      <c r="J5" s="325">
        <f>M7/(M7+M6+M8*J8/(1-J8))</f>
        <v>0.2196078431372549</v>
      </c>
      <c r="O5" s="109">
        <f>M8*(Q2/M8)^2</f>
        <v>4578667.1052631577</v>
      </c>
    </row>
    <row r="6" spans="2:20" ht="18" customHeight="1" x14ac:dyDescent="0.25">
      <c r="B6" s="22"/>
      <c r="C6" s="319">
        <f>1+(M8-M6)*C1/(M7*(1-C1))</f>
        <v>24.336133441301765</v>
      </c>
      <c r="D6" s="18"/>
      <c r="E6" s="322">
        <f>1+(M8-M6)*E8/(M7*(1-E8))</f>
        <v>3.8392857142857144</v>
      </c>
      <c r="F6"/>
      <c r="G6" s="77"/>
      <c r="H6" s="321">
        <f>M6/(M7+M6+M8*H1/(1-H1))</f>
        <v>1.523338625116049E-2</v>
      </c>
      <c r="I6" s="221"/>
      <c r="J6" s="325">
        <f>M6/(M7+M6+M8*J8/(1-J8))</f>
        <v>0.10980392156862745</v>
      </c>
      <c r="M6" s="200">
        <f>COUNTA(C12:F12)</f>
        <v>4</v>
      </c>
      <c r="N6" s="263" t="s">
        <v>7</v>
      </c>
      <c r="O6" s="264">
        <f>H41</f>
        <v>451</v>
      </c>
      <c r="P6" s="263" t="s">
        <v>5</v>
      </c>
      <c r="Q6" s="264">
        <f>SUM(O33:R40)</f>
        <v>14.675324675324672</v>
      </c>
      <c r="T6"/>
    </row>
    <row r="7" spans="2:20" ht="18" customHeight="1" x14ac:dyDescent="0.25">
      <c r="B7" s="22"/>
      <c r="C7" s="319">
        <f>(C5*'Example 5.2'!N16+C6*Q4)^2/((C5*'Example 5.2'!N16)^2/(M6-1)+(C6*Q4)^2/(M8-M7-M6+1))</f>
        <v>34.919870174136349</v>
      </c>
      <c r="D7" s="18"/>
      <c r="E7" s="321">
        <f>(E5*'Example 5.4'!N16+E6*Q4)^2/((E5*'Example 5.4'!N16)^2/(M6-1)+(E6*Q4)^2/(M8-M7-M6+1))</f>
        <v>40.240783265063946</v>
      </c>
      <c r="G7" s="77"/>
      <c r="H7" s="321">
        <f>(H5*'Example 5.4'!N15 + H6*'Example 5.4'!N16)^2/((H5*'Example 5.4'!N15)^2/(M7-1)+(H6*'Example 5.4'!N16)^2/(M6-1))</f>
        <v>7.863185732177568</v>
      </c>
      <c r="I7" s="221"/>
      <c r="J7" s="325">
        <f>(J5*'Example 5.4'!N15 + J6*'Example 5.4'!N16)^2/((J5*'Example 5.4'!N15)^2/(M7-1)+(J6*'Example 5.4'!N16)^2/(M6-1))</f>
        <v>7.8631857321775698</v>
      </c>
      <c r="M7" s="99">
        <f>COUNT(B33:B40)</f>
        <v>8</v>
      </c>
      <c r="N7" s="265" t="s">
        <v>11</v>
      </c>
      <c r="O7" s="266">
        <f>O6/M8</f>
        <v>7.9122807017543861</v>
      </c>
      <c r="P7" s="262" t="s">
        <v>8</v>
      </c>
      <c r="Q7" s="106">
        <f>SUM(J33:M40)</f>
        <v>8.0666666666666629</v>
      </c>
      <c r="T7"/>
    </row>
    <row r="8" spans="2:20" ht="18" customHeight="1" x14ac:dyDescent="0.25">
      <c r="B8" s="22"/>
      <c r="C8" s="319">
        <f>_xlfn.F.INV((1-M4)/2,M7-1,C7)</f>
        <v>0.23055685298521034</v>
      </c>
      <c r="D8" s="18"/>
      <c r="E8" s="323">
        <v>0.3</v>
      </c>
      <c r="G8" s="77"/>
      <c r="H8" s="321">
        <f>_xlfn.F.INV((1-M4)/2,H7,M8-M7-M6+1)</f>
        <v>0.23322658262585805</v>
      </c>
      <c r="I8" s="221"/>
      <c r="J8" s="326">
        <f>E8</f>
        <v>0.3</v>
      </c>
      <c r="L8" s="1" t="s">
        <v>19</v>
      </c>
      <c r="M8" s="128">
        <f>G41</f>
        <v>57</v>
      </c>
      <c r="N8" s="262" t="s">
        <v>6</v>
      </c>
      <c r="O8" s="106">
        <f>G42</f>
        <v>813</v>
      </c>
      <c r="P8" s="265" t="s">
        <v>9</v>
      </c>
      <c r="Q8" s="266">
        <f>SUMSQ(C33:F40)</f>
        <v>115</v>
      </c>
      <c r="T8"/>
    </row>
    <row r="9" spans="2:20" ht="18" customHeight="1" x14ac:dyDescent="0.25">
      <c r="B9" s="24"/>
      <c r="C9" s="320">
        <f>_xlfn.F.INV(1-(1-M4)/2,M7-1,C7)</f>
        <v>2.6878273927132521</v>
      </c>
      <c r="D9" s="197"/>
      <c r="E9" s="280">
        <f>'Example 5.4'!N15/(E5*'Example 5.4'!N16+E6*Q4)</f>
        <v>6.2043920865792899</v>
      </c>
      <c r="G9" s="78"/>
      <c r="H9" s="324">
        <f>_xlfn.F.INV(1-(1-M4)/2,H7,M8-M7-M6+1)</f>
        <v>2.5773913441766561</v>
      </c>
      <c r="I9" s="220"/>
      <c r="J9" s="281">
        <f>(J5*'Example 5.4'!N15+J6*'Example 5.4'!N16)/Q4</f>
        <v>6.7378046265428999</v>
      </c>
      <c r="N9" s="269" t="s">
        <v>12</v>
      </c>
      <c r="O9" s="270">
        <f>O8/M8</f>
        <v>14.263157894736842</v>
      </c>
      <c r="P9" s="267" t="s">
        <v>13</v>
      </c>
      <c r="Q9" s="268">
        <f>Q8/M8</f>
        <v>2.0175438596491229</v>
      </c>
      <c r="T9"/>
    </row>
    <row r="10" spans="2:20" ht="18" customHeight="1" x14ac:dyDescent="0.25">
      <c r="C10" s="199"/>
      <c r="D10" s="198"/>
      <c r="E10" s="198"/>
      <c r="H10" s="199"/>
      <c r="T10"/>
    </row>
    <row r="11" spans="2:20" ht="18" customHeight="1" thickBot="1" x14ac:dyDescent="0.3">
      <c r="C11" s="147"/>
      <c r="D11" s="198"/>
      <c r="E11" s="147"/>
      <c r="F11" s="147"/>
      <c r="T11"/>
    </row>
    <row r="12" spans="2:20" x14ac:dyDescent="0.25">
      <c r="B12" s="306" t="s">
        <v>0</v>
      </c>
      <c r="C12" s="307" t="s">
        <v>1</v>
      </c>
      <c r="D12" s="307" t="s">
        <v>2</v>
      </c>
      <c r="E12" s="307" t="s">
        <v>3</v>
      </c>
      <c r="F12" s="308" t="s">
        <v>4</v>
      </c>
      <c r="G12" s="201"/>
      <c r="H12" s="41" t="s">
        <v>0</v>
      </c>
      <c r="I12" s="8" t="s">
        <v>1</v>
      </c>
      <c r="J12" s="8" t="s">
        <v>2</v>
      </c>
      <c r="K12" s="8" t="s">
        <v>3</v>
      </c>
      <c r="L12" s="11" t="s">
        <v>4</v>
      </c>
      <c r="N12" s="36" t="s">
        <v>0</v>
      </c>
      <c r="O12" s="8" t="s">
        <v>1</v>
      </c>
      <c r="P12" s="8" t="s">
        <v>2</v>
      </c>
      <c r="Q12" s="8" t="s">
        <v>3</v>
      </c>
      <c r="R12" s="11" t="s">
        <v>4</v>
      </c>
    </row>
    <row r="13" spans="2:20" x14ac:dyDescent="0.25">
      <c r="B13" s="305">
        <v>1</v>
      </c>
      <c r="C13" s="66">
        <v>190</v>
      </c>
      <c r="D13" s="66">
        <v>220</v>
      </c>
      <c r="E13" s="66">
        <v>200</v>
      </c>
      <c r="F13" s="205">
        <v>200</v>
      </c>
      <c r="G13" s="202"/>
      <c r="H13" s="42">
        <v>1</v>
      </c>
      <c r="I13" s="25">
        <f t="shared" ref="I13:L27" si="0">IF(LEN(C13)&gt;0,C13^2,"")</f>
        <v>36100</v>
      </c>
      <c r="J13" s="25">
        <f t="shared" si="0"/>
        <v>48400</v>
      </c>
      <c r="K13" s="25">
        <f t="shared" si="0"/>
        <v>40000</v>
      </c>
      <c r="L13" s="79">
        <f t="shared" si="0"/>
        <v>40000</v>
      </c>
      <c r="N13" s="72">
        <v>1</v>
      </c>
      <c r="O13" s="138">
        <f>(C13-$I46-C$56+$Q$3)^2</f>
        <v>118.04087285883838</v>
      </c>
      <c r="P13" s="138">
        <f>(D13-$I46-D$56+$Q$3)^2</f>
        <v>152.51321442704574</v>
      </c>
      <c r="Q13" s="138">
        <f>(E13-$I46-E$56+$Q$3)^2</f>
        <v>269.36295783317843</v>
      </c>
      <c r="R13" s="192">
        <f>(F13-$I46-F$56+$Q$3)^2</f>
        <v>614.70440669342508</v>
      </c>
    </row>
    <row r="14" spans="2:20" x14ac:dyDescent="0.25">
      <c r="B14" s="305">
        <v>1</v>
      </c>
      <c r="C14" s="66">
        <v>220</v>
      </c>
      <c r="D14" s="66">
        <v>200</v>
      </c>
      <c r="E14" s="66">
        <v>240</v>
      </c>
      <c r="F14" s="205">
        <v>230</v>
      </c>
      <c r="G14" s="202"/>
      <c r="H14" s="42">
        <v>2</v>
      </c>
      <c r="I14" s="25">
        <f t="shared" si="0"/>
        <v>48400</v>
      </c>
      <c r="J14" s="25">
        <f t="shared" si="0"/>
        <v>40000</v>
      </c>
      <c r="K14" s="25">
        <f t="shared" si="0"/>
        <v>57600</v>
      </c>
      <c r="L14" s="26">
        <f t="shared" si="0"/>
        <v>52900</v>
      </c>
      <c r="N14" s="72">
        <v>1</v>
      </c>
      <c r="O14" s="138">
        <f t="shared" ref="O14:R15" si="1">(C14-$I46-C$56+$Q$3)^2</f>
        <v>366.16117361071929</v>
      </c>
      <c r="P14" s="138">
        <f t="shared" si="1"/>
        <v>58.528252021029587</v>
      </c>
      <c r="Q14" s="138">
        <f t="shared" si="1"/>
        <v>556.38050169282997</v>
      </c>
      <c r="R14" s="193">
        <f t="shared" si="1"/>
        <v>27.110421731019319</v>
      </c>
    </row>
    <row r="15" spans="2:20" x14ac:dyDescent="0.25">
      <c r="B15" s="309">
        <v>2</v>
      </c>
      <c r="C15" s="310">
        <v>260</v>
      </c>
      <c r="D15" s="310">
        <v>260</v>
      </c>
      <c r="E15" s="310">
        <v>240</v>
      </c>
      <c r="F15" s="311">
        <v>280</v>
      </c>
      <c r="G15" s="202"/>
      <c r="H15" s="42">
        <v>3</v>
      </c>
      <c r="I15" s="25">
        <f t="shared" si="0"/>
        <v>67600</v>
      </c>
      <c r="J15" s="25">
        <f t="shared" si="0"/>
        <v>67600</v>
      </c>
      <c r="K15" s="25">
        <f t="shared" si="0"/>
        <v>57600</v>
      </c>
      <c r="L15" s="26">
        <f t="shared" si="0"/>
        <v>78400</v>
      </c>
      <c r="N15" s="180">
        <v>2</v>
      </c>
      <c r="O15" s="149">
        <f t="shared" si="1"/>
        <v>95.264204625756506</v>
      </c>
      <c r="P15" s="149">
        <f t="shared" si="1"/>
        <v>8.8483882992256753</v>
      </c>
      <c r="Q15" s="149">
        <f t="shared" si="1"/>
        <v>664.9838459910726</v>
      </c>
      <c r="R15" s="194">
        <f t="shared" si="1"/>
        <v>34.009505377635861</v>
      </c>
    </row>
    <row r="16" spans="2:20" x14ac:dyDescent="0.25">
      <c r="B16" s="309">
        <v>2</v>
      </c>
      <c r="C16" s="310">
        <v>210</v>
      </c>
      <c r="D16" s="310">
        <v>300</v>
      </c>
      <c r="E16" s="310">
        <v>280</v>
      </c>
      <c r="F16" s="311">
        <v>265</v>
      </c>
      <c r="G16" s="202"/>
      <c r="H16" s="42">
        <v>4</v>
      </c>
      <c r="I16" s="25">
        <f t="shared" si="0"/>
        <v>44100</v>
      </c>
      <c r="J16" s="25">
        <f t="shared" si="0"/>
        <v>90000</v>
      </c>
      <c r="K16" s="25">
        <f t="shared" si="0"/>
        <v>78400</v>
      </c>
      <c r="L16" s="26">
        <f t="shared" si="0"/>
        <v>70225</v>
      </c>
      <c r="N16" s="180">
        <v>2</v>
      </c>
      <c r="O16" s="149">
        <f t="shared" ref="O16:R17" si="2">(C16-$I47-C$56+$Q$3)^2</f>
        <v>1619.2303700392883</v>
      </c>
      <c r="P16" s="149">
        <f t="shared" si="2"/>
        <v>1846.818313111258</v>
      </c>
      <c r="Q16" s="149">
        <f t="shared" si="2"/>
        <v>202.00138985072417</v>
      </c>
      <c r="R16" s="194">
        <f t="shared" si="2"/>
        <v>84.056497858838753</v>
      </c>
    </row>
    <row r="17" spans="2:24" x14ac:dyDescent="0.25">
      <c r="B17" s="305">
        <v>3</v>
      </c>
      <c r="C17" s="66">
        <v>270</v>
      </c>
      <c r="D17" s="66">
        <v>265</v>
      </c>
      <c r="E17" s="66">
        <v>280</v>
      </c>
      <c r="F17" s="205">
        <v>270</v>
      </c>
      <c r="G17" s="202"/>
      <c r="H17" s="42">
        <v>5</v>
      </c>
      <c r="I17" s="25">
        <f t="shared" si="0"/>
        <v>72900</v>
      </c>
      <c r="J17" s="25">
        <f t="shared" si="0"/>
        <v>70225</v>
      </c>
      <c r="K17" s="25">
        <f t="shared" si="0"/>
        <v>78400</v>
      </c>
      <c r="L17" s="26">
        <f t="shared" si="0"/>
        <v>72900</v>
      </c>
      <c r="N17" s="72">
        <v>3</v>
      </c>
      <c r="O17" s="138">
        <f t="shared" si="2"/>
        <v>38.202200765382486</v>
      </c>
      <c r="P17" s="138">
        <f t="shared" si="2"/>
        <v>31.415143837347184</v>
      </c>
      <c r="Q17" s="138">
        <f t="shared" si="2"/>
        <v>0.40090911634609278</v>
      </c>
      <c r="R17" s="193">
        <f t="shared" si="2"/>
        <v>314.98364300734994</v>
      </c>
    </row>
    <row r="18" spans="2:24" x14ac:dyDescent="0.25">
      <c r="B18" s="305">
        <v>3</v>
      </c>
      <c r="C18" s="66">
        <v>280</v>
      </c>
      <c r="D18" s="66">
        <v>280</v>
      </c>
      <c r="E18" s="66">
        <v>270</v>
      </c>
      <c r="F18" s="205">
        <v>275</v>
      </c>
      <c r="G18" s="202"/>
      <c r="H18" s="42">
        <v>6</v>
      </c>
      <c r="I18" s="25">
        <f t="shared" si="0"/>
        <v>78400</v>
      </c>
      <c r="J18" s="25">
        <f t="shared" si="0"/>
        <v>78400</v>
      </c>
      <c r="K18" s="25">
        <f t="shared" si="0"/>
        <v>72900</v>
      </c>
      <c r="L18" s="26">
        <f t="shared" si="0"/>
        <v>75625</v>
      </c>
      <c r="N18" s="72">
        <v>3</v>
      </c>
      <c r="O18" s="138">
        <f>(C18-$I48-C$56+$Q$3)^2</f>
        <v>261.81805859176734</v>
      </c>
      <c r="P18" s="138">
        <f>(D18-$I48-D$56+$Q$3)^2</f>
        <v>88.267502005496141</v>
      </c>
      <c r="Q18" s="138">
        <f>(E18-$I48-E$56+$Q$3)^2</f>
        <v>87.737432242341981</v>
      </c>
      <c r="R18" s="193">
        <f>(F18-$I48-F$56+$Q$3)^2</f>
        <v>162.50585763482789</v>
      </c>
    </row>
    <row r="19" spans="2:24" x14ac:dyDescent="0.25">
      <c r="B19" s="305">
        <v>3</v>
      </c>
      <c r="C19" s="66">
        <v>260</v>
      </c>
      <c r="D19" s="66"/>
      <c r="E19" s="66">
        <v>280</v>
      </c>
      <c r="F19" s="205">
        <v>300</v>
      </c>
      <c r="G19" s="202"/>
      <c r="H19" s="42">
        <v>7</v>
      </c>
      <c r="I19" s="25">
        <f t="shared" si="0"/>
        <v>67600</v>
      </c>
      <c r="J19" s="25" t="str">
        <f t="shared" si="0"/>
        <v/>
      </c>
      <c r="K19" s="25">
        <f t="shared" si="0"/>
        <v>78400</v>
      </c>
      <c r="L19" s="26">
        <f t="shared" si="0"/>
        <v>90000</v>
      </c>
      <c r="N19" s="72">
        <v>3</v>
      </c>
      <c r="O19" s="138">
        <f>(C19-$I48-C$56+$Q$3)^2</f>
        <v>14.58634293899763</v>
      </c>
      <c r="P19" s="74"/>
      <c r="Q19" s="138">
        <f>(E19-$I48-E$56+$Q$3)^2</f>
        <v>0.40090911634609278</v>
      </c>
      <c r="R19" s="193">
        <f>(F19-$I48-F$56+$Q$3)^2</f>
        <v>150.11693077221778</v>
      </c>
    </row>
    <row r="20" spans="2:24" x14ac:dyDescent="0.25">
      <c r="B20" s="309">
        <v>4</v>
      </c>
      <c r="C20" s="310">
        <v>275</v>
      </c>
      <c r="D20" s="310">
        <v>275</v>
      </c>
      <c r="E20" s="310">
        <v>275</v>
      </c>
      <c r="F20" s="311"/>
      <c r="G20" s="202"/>
      <c r="H20" s="42">
        <v>8</v>
      </c>
      <c r="I20" s="25">
        <f t="shared" si="0"/>
        <v>75625</v>
      </c>
      <c r="J20" s="25">
        <f t="shared" si="0"/>
        <v>75625</v>
      </c>
      <c r="K20" s="25">
        <f t="shared" si="0"/>
        <v>75625</v>
      </c>
      <c r="L20" s="26" t="str">
        <f t="shared" si="0"/>
        <v/>
      </c>
      <c r="N20" s="180">
        <v>4</v>
      </c>
      <c r="O20" s="149">
        <f>(C20-$I49-C$56+$Q$3)^2</f>
        <v>135.38109842274906</v>
      </c>
      <c r="P20" s="149">
        <f>(D20-$I49-D$56+$Q$3)^2</f>
        <v>23.518853524789691</v>
      </c>
      <c r="Q20" s="149">
        <f>(E20-$I49-E$56+$Q$3)^2</f>
        <v>15.305940289319549</v>
      </c>
      <c r="R20" s="195"/>
    </row>
    <row r="21" spans="2:24" x14ac:dyDescent="0.25">
      <c r="B21" s="305">
        <v>5</v>
      </c>
      <c r="C21" s="66">
        <v>280</v>
      </c>
      <c r="D21" s="66">
        <v>290</v>
      </c>
      <c r="E21" s="66">
        <v>300</v>
      </c>
      <c r="F21" s="205">
        <v>290</v>
      </c>
      <c r="G21" s="202"/>
      <c r="H21" s="42">
        <v>9</v>
      </c>
      <c r="I21" s="25">
        <f t="shared" si="0"/>
        <v>78400</v>
      </c>
      <c r="J21" s="25">
        <f t="shared" si="0"/>
        <v>84100</v>
      </c>
      <c r="K21" s="25">
        <f t="shared" si="0"/>
        <v>90000</v>
      </c>
      <c r="L21" s="26">
        <f t="shared" si="0"/>
        <v>84100</v>
      </c>
      <c r="N21" s="72">
        <v>5</v>
      </c>
      <c r="O21" s="138">
        <f>(C21-$I50-C$56+$Q$3)^2</f>
        <v>11.320948046808615</v>
      </c>
      <c r="P21" s="138">
        <f>(D21-$I50-D$56+$Q$3)^2</f>
        <v>2.2612923285649268E-2</v>
      </c>
      <c r="Q21" s="138">
        <f>(E21-$I50-E$56+$Q$3)^2</f>
        <v>1.1831332717759984</v>
      </c>
      <c r="R21" s="193">
        <f>(F21-$I50-F$56+$Q$3)^2</f>
        <v>299.05591045282364</v>
      </c>
    </row>
    <row r="22" spans="2:24" x14ac:dyDescent="0.25">
      <c r="B22" s="305">
        <v>5</v>
      </c>
      <c r="C22" s="66">
        <v>320</v>
      </c>
      <c r="D22" s="66">
        <v>290</v>
      </c>
      <c r="E22" s="66">
        <v>300</v>
      </c>
      <c r="F22" s="205">
        <v>290</v>
      </c>
      <c r="G22" s="202"/>
      <c r="H22" s="42">
        <v>10</v>
      </c>
      <c r="I22" s="25">
        <f t="shared" si="0"/>
        <v>102400</v>
      </c>
      <c r="J22" s="25">
        <f t="shared" si="0"/>
        <v>84100</v>
      </c>
      <c r="K22" s="25">
        <f t="shared" si="0"/>
        <v>90000</v>
      </c>
      <c r="L22" s="26">
        <f t="shared" si="0"/>
        <v>84100</v>
      </c>
      <c r="N22" s="72">
        <v>5</v>
      </c>
      <c r="O22" s="138">
        <f t="shared" ref="O22:R23" si="3">(C22-$I50-C$56+$Q$3)^2</f>
        <v>1342.1480157159831</v>
      </c>
      <c r="P22" s="138">
        <f t="shared" si="3"/>
        <v>2.2612923285649268E-2</v>
      </c>
      <c r="Q22" s="138">
        <f t="shared" si="3"/>
        <v>1.1831332717759984</v>
      </c>
      <c r="R22" s="193">
        <f t="shared" si="3"/>
        <v>299.05591045282364</v>
      </c>
    </row>
    <row r="23" spans="2:24" x14ac:dyDescent="0.25">
      <c r="B23" s="309">
        <v>6</v>
      </c>
      <c r="C23" s="310">
        <v>300</v>
      </c>
      <c r="D23" s="310">
        <v>300</v>
      </c>
      <c r="E23" s="310">
        <v>310</v>
      </c>
      <c r="F23" s="311">
        <v>300</v>
      </c>
      <c r="G23" s="202"/>
      <c r="H23" s="42">
        <v>11</v>
      </c>
      <c r="I23" s="25">
        <f t="shared" si="0"/>
        <v>90000</v>
      </c>
      <c r="J23" s="25">
        <f t="shared" si="0"/>
        <v>90000</v>
      </c>
      <c r="K23" s="25">
        <f t="shared" si="0"/>
        <v>96100</v>
      </c>
      <c r="L23" s="26">
        <f t="shared" si="0"/>
        <v>90000</v>
      </c>
      <c r="N23" s="180">
        <v>6</v>
      </c>
      <c r="O23" s="149">
        <f t="shared" si="3"/>
        <v>62.178560828763956</v>
      </c>
      <c r="P23" s="149">
        <f t="shared" si="3"/>
        <v>1.2091730736616597</v>
      </c>
      <c r="Q23" s="149">
        <f t="shared" si="3"/>
        <v>5.4649315173901103</v>
      </c>
      <c r="R23" s="194">
        <f t="shared" si="3"/>
        <v>257.38532774605676</v>
      </c>
    </row>
    <row r="24" spans="2:24" x14ac:dyDescent="0.25">
      <c r="B24" s="309">
        <v>6</v>
      </c>
      <c r="C24" s="310">
        <v>270</v>
      </c>
      <c r="D24" s="310">
        <v>250</v>
      </c>
      <c r="E24" s="310">
        <v>330</v>
      </c>
      <c r="F24" s="311">
        <v>370</v>
      </c>
      <c r="G24" s="202"/>
      <c r="H24" s="42">
        <v>12</v>
      </c>
      <c r="I24" s="25">
        <f t="shared" si="0"/>
        <v>72900</v>
      </c>
      <c r="J24" s="25">
        <f t="shared" si="0"/>
        <v>62500</v>
      </c>
      <c r="K24" s="25">
        <f t="shared" si="0"/>
        <v>108900</v>
      </c>
      <c r="L24" s="26">
        <f t="shared" si="0"/>
        <v>136900</v>
      </c>
      <c r="N24" s="180">
        <v>6</v>
      </c>
      <c r="O24" s="149">
        <f t="shared" ref="O24:R25" si="4">(C24-$I51-C$56+$Q$3)^2</f>
        <v>489.05826007688307</v>
      </c>
      <c r="P24" s="149">
        <f t="shared" si="4"/>
        <v>2391.2467670586211</v>
      </c>
      <c r="Q24" s="149">
        <f t="shared" si="4"/>
        <v>498.97370344721588</v>
      </c>
      <c r="R24" s="194">
        <f t="shared" si="4"/>
        <v>2911.33269616711</v>
      </c>
    </row>
    <row r="25" spans="2:24" x14ac:dyDescent="0.25">
      <c r="B25" s="305">
        <v>7</v>
      </c>
      <c r="C25" s="66">
        <v>320</v>
      </c>
      <c r="D25" s="66">
        <v>330</v>
      </c>
      <c r="E25" s="66">
        <v>330</v>
      </c>
      <c r="F25" s="205">
        <v>330</v>
      </c>
      <c r="G25" s="202"/>
      <c r="H25" s="42">
        <v>13</v>
      </c>
      <c r="I25" s="25">
        <f t="shared" si="0"/>
        <v>102400</v>
      </c>
      <c r="J25" s="25">
        <f t="shared" si="0"/>
        <v>108900</v>
      </c>
      <c r="K25" s="25">
        <f t="shared" si="0"/>
        <v>108900</v>
      </c>
      <c r="L25" s="26">
        <f t="shared" si="0"/>
        <v>108900</v>
      </c>
      <c r="N25" s="72">
        <v>7</v>
      </c>
      <c r="O25" s="138">
        <f t="shared" si="4"/>
        <v>7.0244926225336286</v>
      </c>
      <c r="P25" s="138">
        <f t="shared" si="4"/>
        <v>0.31799423370460311</v>
      </c>
      <c r="Q25" s="138">
        <f t="shared" si="4"/>
        <v>67.207121814560821</v>
      </c>
      <c r="R25" s="193">
        <f t="shared" si="4"/>
        <v>274.86149584487492</v>
      </c>
    </row>
    <row r="26" spans="2:24" x14ac:dyDescent="0.25">
      <c r="B26" s="305">
        <v>7</v>
      </c>
      <c r="C26" s="66"/>
      <c r="D26" s="66">
        <v>320</v>
      </c>
      <c r="E26" s="66">
        <v>335</v>
      </c>
      <c r="F26" s="205">
        <v>375</v>
      </c>
      <c r="G26" s="202"/>
      <c r="H26" s="42">
        <v>14</v>
      </c>
      <c r="I26" s="25" t="str">
        <f t="shared" si="0"/>
        <v/>
      </c>
      <c r="J26" s="25">
        <f t="shared" si="0"/>
        <v>102400</v>
      </c>
      <c r="K26" s="25">
        <f t="shared" si="0"/>
        <v>112225</v>
      </c>
      <c r="L26" s="26">
        <f t="shared" si="0"/>
        <v>140625</v>
      </c>
      <c r="N26" s="72">
        <v>7</v>
      </c>
      <c r="O26" s="74"/>
      <c r="P26" s="138">
        <f t="shared" ref="P26:R27" si="5">(D26-$I52-D$56+$Q$3)^2</f>
        <v>89.039798744982079</v>
      </c>
      <c r="Q26" s="138">
        <f t="shared" si="5"/>
        <v>10.2271719398745</v>
      </c>
      <c r="R26" s="193">
        <f t="shared" si="5"/>
        <v>807.75623268698132</v>
      </c>
    </row>
    <row r="27" spans="2:24" ht="15.75" thickBot="1" x14ac:dyDescent="0.3">
      <c r="B27" s="312">
        <v>8</v>
      </c>
      <c r="C27" s="313">
        <v>350</v>
      </c>
      <c r="D27" s="313">
        <v>320</v>
      </c>
      <c r="E27" s="313">
        <v>340</v>
      </c>
      <c r="F27" s="314">
        <v>365</v>
      </c>
      <c r="G27" s="202"/>
      <c r="H27" s="43">
        <v>15</v>
      </c>
      <c r="I27" s="40">
        <f t="shared" si="0"/>
        <v>122500</v>
      </c>
      <c r="J27" s="27">
        <f t="shared" si="0"/>
        <v>102400</v>
      </c>
      <c r="K27" s="27">
        <f t="shared" si="0"/>
        <v>115600</v>
      </c>
      <c r="L27" s="28">
        <f t="shared" si="0"/>
        <v>133225</v>
      </c>
      <c r="N27" s="181">
        <v>8</v>
      </c>
      <c r="O27" s="179">
        <f>(C27-$I53-C$56+$Q$3)^2</f>
        <v>319.88532774605761</v>
      </c>
      <c r="P27" s="151">
        <f t="shared" si="5"/>
        <v>357.22421066764548</v>
      </c>
      <c r="Q27" s="151">
        <f t="shared" si="5"/>
        <v>58.710545552477214</v>
      </c>
      <c r="R27" s="196">
        <f t="shared" si="5"/>
        <v>80.223673610718592</v>
      </c>
    </row>
    <row r="28" spans="2:24" x14ac:dyDescent="0.25">
      <c r="B28" s="43"/>
      <c r="C28" s="27">
        <f>SUM(C13:C27)^2</f>
        <v>14478025</v>
      </c>
      <c r="D28" s="27">
        <f t="shared" ref="D28:F28" si="6">SUM(D13:D27)^2</f>
        <v>15210000</v>
      </c>
      <c r="E28" s="27">
        <f t="shared" si="6"/>
        <v>18576100</v>
      </c>
      <c r="F28" s="28">
        <f t="shared" si="6"/>
        <v>17139600</v>
      </c>
      <c r="P28" s="23"/>
      <c r="Q28" s="23"/>
      <c r="R28" s="23"/>
      <c r="S28" s="23"/>
      <c r="T28" s="23"/>
      <c r="U28" s="23"/>
    </row>
    <row r="29" spans="2:24" x14ac:dyDescent="0.25">
      <c r="B29" s="43"/>
      <c r="C29" s="37">
        <f>IF(C41&gt;0,C28/C41,0)</f>
        <v>1034144.6428571428</v>
      </c>
      <c r="D29" s="37">
        <f>IF(D41&gt;0,D28/D41,0)</f>
        <v>1086428.5714285714</v>
      </c>
      <c r="E29" s="37">
        <f>IF(E41&gt;0,E28/E41,0)</f>
        <v>1238406.6666666667</v>
      </c>
      <c r="F29" s="38">
        <f>IF(F41&gt;0,F28/F41,0)</f>
        <v>1224257.142857143</v>
      </c>
      <c r="N29"/>
      <c r="O29"/>
      <c r="P29"/>
      <c r="Q29"/>
    </row>
    <row r="30" spans="2:24" s="15" customFormat="1" x14ac:dyDescent="0.25">
      <c r="B30" s="93"/>
      <c r="C30" s="94"/>
      <c r="D30" s="95"/>
      <c r="E30" s="96"/>
      <c r="F30" s="93"/>
      <c r="G30" s="97"/>
      <c r="H30" s="16"/>
      <c r="I30" s="16"/>
      <c r="J30" s="93"/>
      <c r="K30" s="98"/>
      <c r="L30" s="93"/>
      <c r="M30" s="96"/>
      <c r="Q30" s="99"/>
      <c r="R30" s="16"/>
      <c r="S30" s="16"/>
      <c r="T30" s="16"/>
      <c r="U30" s="16"/>
      <c r="V30" s="16"/>
      <c r="W30" s="17"/>
      <c r="X30" s="17"/>
    </row>
    <row r="31" spans="2:24" x14ac:dyDescent="0.25">
      <c r="D31" s="155"/>
      <c r="K31" s="2"/>
      <c r="Q31" s="18"/>
      <c r="T31"/>
    </row>
    <row r="32" spans="2:24" x14ac:dyDescent="0.25">
      <c r="B32" s="36" t="s">
        <v>0</v>
      </c>
      <c r="C32" s="8" t="s">
        <v>1</v>
      </c>
      <c r="D32" s="8" t="s">
        <v>2</v>
      </c>
      <c r="E32" s="8" t="s">
        <v>3</v>
      </c>
      <c r="F32" s="8" t="s">
        <v>4</v>
      </c>
      <c r="G32" s="41"/>
      <c r="H32" s="30"/>
      <c r="I32"/>
      <c r="J32" s="12" t="s">
        <v>1</v>
      </c>
      <c r="K32" s="8" t="s">
        <v>2</v>
      </c>
      <c r="L32" s="8" t="s">
        <v>3</v>
      </c>
      <c r="M32" s="11" t="s">
        <v>4</v>
      </c>
      <c r="N32"/>
      <c r="O32" s="12" t="s">
        <v>1</v>
      </c>
      <c r="P32" s="8" t="s">
        <v>2</v>
      </c>
      <c r="Q32" s="8" t="s">
        <v>3</v>
      </c>
      <c r="R32" s="11" t="s">
        <v>4</v>
      </c>
    </row>
    <row r="33" spans="2:24" x14ac:dyDescent="0.25">
      <c r="B33" s="71">
        <v>1</v>
      </c>
      <c r="C33" s="21">
        <f>COUNTA(C13:C14)</f>
        <v>2</v>
      </c>
      <c r="D33" s="21">
        <f t="shared" ref="D33:F33" si="7">COUNTA(D13:D14)</f>
        <v>2</v>
      </c>
      <c r="E33" s="21">
        <f t="shared" si="7"/>
        <v>2</v>
      </c>
      <c r="F33" s="21">
        <f t="shared" si="7"/>
        <v>2</v>
      </c>
      <c r="G33" s="45">
        <f>SUM(C33:F33)</f>
        <v>8</v>
      </c>
      <c r="H33" s="6">
        <f>G33^2</f>
        <v>64</v>
      </c>
      <c r="I33"/>
      <c r="J33" s="22">
        <f t="shared" ref="J33:M40" si="8">C33^2/C$41</f>
        <v>0.2857142857142857</v>
      </c>
      <c r="K33" s="18">
        <f t="shared" si="8"/>
        <v>0.2857142857142857</v>
      </c>
      <c r="L33" s="18">
        <f t="shared" si="8"/>
        <v>0.26666666666666666</v>
      </c>
      <c r="M33" s="5">
        <f t="shared" si="8"/>
        <v>0.2857142857142857</v>
      </c>
      <c r="N33"/>
      <c r="O33" s="22">
        <f t="shared" ref="O33:R40" si="9">C33^2/$G33</f>
        <v>0.5</v>
      </c>
      <c r="P33" s="18">
        <f t="shared" si="9"/>
        <v>0.5</v>
      </c>
      <c r="Q33" s="18">
        <f t="shared" si="9"/>
        <v>0.5</v>
      </c>
      <c r="R33" s="5">
        <f t="shared" si="9"/>
        <v>0.5</v>
      </c>
    </row>
    <row r="34" spans="2:24" x14ac:dyDescent="0.25">
      <c r="B34" s="72">
        <v>2</v>
      </c>
      <c r="C34" s="23">
        <f>COUNTA(C15:C16)</f>
        <v>2</v>
      </c>
      <c r="D34" s="23">
        <f t="shared" ref="D34:F34" si="10">COUNTA(D15:D16)</f>
        <v>2</v>
      </c>
      <c r="E34" s="23">
        <f t="shared" si="10"/>
        <v>2</v>
      </c>
      <c r="F34" s="23">
        <f t="shared" si="10"/>
        <v>2</v>
      </c>
      <c r="G34" s="45">
        <f t="shared" ref="G34:G40" si="11">SUM(C34:F34)</f>
        <v>8</v>
      </c>
      <c r="H34" s="6">
        <f t="shared" ref="H34:H40" si="12">G34^2</f>
        <v>64</v>
      </c>
      <c r="I34"/>
      <c r="J34" s="22">
        <f t="shared" si="8"/>
        <v>0.2857142857142857</v>
      </c>
      <c r="K34" s="18">
        <f t="shared" si="8"/>
        <v>0.2857142857142857</v>
      </c>
      <c r="L34" s="18">
        <f t="shared" si="8"/>
        <v>0.26666666666666666</v>
      </c>
      <c r="M34" s="5">
        <f t="shared" si="8"/>
        <v>0.2857142857142857</v>
      </c>
      <c r="N34"/>
      <c r="O34" s="22">
        <f t="shared" si="9"/>
        <v>0.5</v>
      </c>
      <c r="P34" s="18">
        <f t="shared" si="9"/>
        <v>0.5</v>
      </c>
      <c r="Q34" s="18">
        <f t="shared" si="9"/>
        <v>0.5</v>
      </c>
      <c r="R34" s="5">
        <f t="shared" si="9"/>
        <v>0.5</v>
      </c>
    </row>
    <row r="35" spans="2:24" x14ac:dyDescent="0.25">
      <c r="B35" s="72">
        <v>3</v>
      </c>
      <c r="C35" s="23">
        <f>COUNTA(C17:C19)</f>
        <v>3</v>
      </c>
      <c r="D35" s="23">
        <f t="shared" ref="D35:F35" si="13">COUNTA(D17:D19)</f>
        <v>2</v>
      </c>
      <c r="E35" s="23">
        <f t="shared" si="13"/>
        <v>3</v>
      </c>
      <c r="F35" s="23">
        <f t="shared" si="13"/>
        <v>3</v>
      </c>
      <c r="G35" s="45">
        <f t="shared" si="11"/>
        <v>11</v>
      </c>
      <c r="H35" s="6">
        <f t="shared" si="12"/>
        <v>121</v>
      </c>
      <c r="I35"/>
      <c r="J35" s="22">
        <f t="shared" si="8"/>
        <v>0.6428571428571429</v>
      </c>
      <c r="K35" s="18">
        <f t="shared" si="8"/>
        <v>0.2857142857142857</v>
      </c>
      <c r="L35" s="18">
        <f t="shared" si="8"/>
        <v>0.6</v>
      </c>
      <c r="M35" s="5">
        <f t="shared" si="8"/>
        <v>0.6428571428571429</v>
      </c>
      <c r="N35"/>
      <c r="O35" s="22">
        <f t="shared" si="9"/>
        <v>0.81818181818181823</v>
      </c>
      <c r="P35" s="18">
        <f t="shared" si="9"/>
        <v>0.36363636363636365</v>
      </c>
      <c r="Q35" s="18">
        <f t="shared" si="9"/>
        <v>0.81818181818181823</v>
      </c>
      <c r="R35" s="5">
        <f t="shared" si="9"/>
        <v>0.81818181818181823</v>
      </c>
    </row>
    <row r="36" spans="2:24" x14ac:dyDescent="0.25">
      <c r="B36" s="72">
        <v>4</v>
      </c>
      <c r="C36" s="23">
        <f>COUNTA(C20)</f>
        <v>1</v>
      </c>
      <c r="D36" s="23">
        <f t="shared" ref="D36:F36" si="14">COUNTA(D20)</f>
        <v>1</v>
      </c>
      <c r="E36" s="23">
        <f t="shared" si="14"/>
        <v>1</v>
      </c>
      <c r="F36" s="23">
        <f t="shared" si="14"/>
        <v>0</v>
      </c>
      <c r="G36" s="45">
        <f t="shared" si="11"/>
        <v>3</v>
      </c>
      <c r="H36" s="6">
        <f t="shared" si="12"/>
        <v>9</v>
      </c>
      <c r="I36"/>
      <c r="J36" s="22">
        <f t="shared" si="8"/>
        <v>7.1428571428571425E-2</v>
      </c>
      <c r="K36" s="18">
        <f t="shared" si="8"/>
        <v>7.1428571428571425E-2</v>
      </c>
      <c r="L36" s="18">
        <f t="shared" si="8"/>
        <v>6.6666666666666666E-2</v>
      </c>
      <c r="M36" s="5">
        <f t="shared" si="8"/>
        <v>0</v>
      </c>
      <c r="N36"/>
      <c r="O36" s="22">
        <f t="shared" si="9"/>
        <v>0.33333333333333331</v>
      </c>
      <c r="P36" s="18">
        <f t="shared" si="9"/>
        <v>0.33333333333333331</v>
      </c>
      <c r="Q36" s="18">
        <f t="shared" si="9"/>
        <v>0.33333333333333331</v>
      </c>
      <c r="R36" s="5">
        <f t="shared" si="9"/>
        <v>0</v>
      </c>
    </row>
    <row r="37" spans="2:24" x14ac:dyDescent="0.25">
      <c r="B37" s="72">
        <v>5</v>
      </c>
      <c r="C37" s="23">
        <f>COUNTA(C21:C22)</f>
        <v>2</v>
      </c>
      <c r="D37" s="23">
        <f t="shared" ref="D37:F37" si="15">COUNTA(D21:D22)</f>
        <v>2</v>
      </c>
      <c r="E37" s="23">
        <f t="shared" si="15"/>
        <v>2</v>
      </c>
      <c r="F37" s="23">
        <f t="shared" si="15"/>
        <v>2</v>
      </c>
      <c r="G37" s="45">
        <f t="shared" si="11"/>
        <v>8</v>
      </c>
      <c r="H37" s="6">
        <f t="shared" si="12"/>
        <v>64</v>
      </c>
      <c r="I37"/>
      <c r="J37" s="22">
        <f t="shared" si="8"/>
        <v>0.2857142857142857</v>
      </c>
      <c r="K37" s="18">
        <f t="shared" si="8"/>
        <v>0.2857142857142857</v>
      </c>
      <c r="L37" s="18">
        <f t="shared" si="8"/>
        <v>0.26666666666666666</v>
      </c>
      <c r="M37" s="5">
        <f t="shared" si="8"/>
        <v>0.2857142857142857</v>
      </c>
      <c r="N37"/>
      <c r="O37" s="22">
        <f t="shared" si="9"/>
        <v>0.5</v>
      </c>
      <c r="P37" s="18">
        <f t="shared" si="9"/>
        <v>0.5</v>
      </c>
      <c r="Q37" s="18">
        <f t="shared" si="9"/>
        <v>0.5</v>
      </c>
      <c r="R37" s="5">
        <f t="shared" si="9"/>
        <v>0.5</v>
      </c>
    </row>
    <row r="38" spans="2:24" x14ac:dyDescent="0.25">
      <c r="B38" s="72">
        <v>6</v>
      </c>
      <c r="C38" s="23">
        <f>COUNTA(C23:C24)</f>
        <v>2</v>
      </c>
      <c r="D38" s="23">
        <f t="shared" ref="D38:F38" si="16">COUNTA(D23:D24)</f>
        <v>2</v>
      </c>
      <c r="E38" s="23">
        <f t="shared" si="16"/>
        <v>2</v>
      </c>
      <c r="F38" s="23">
        <f t="shared" si="16"/>
        <v>2</v>
      </c>
      <c r="G38" s="45">
        <f t="shared" si="11"/>
        <v>8</v>
      </c>
      <c r="H38" s="6">
        <f t="shared" si="12"/>
        <v>64</v>
      </c>
      <c r="I38"/>
      <c r="J38" s="22">
        <f t="shared" si="8"/>
        <v>0.2857142857142857</v>
      </c>
      <c r="K38" s="18">
        <f t="shared" si="8"/>
        <v>0.2857142857142857</v>
      </c>
      <c r="L38" s="18">
        <f t="shared" si="8"/>
        <v>0.26666666666666666</v>
      </c>
      <c r="M38" s="5">
        <f t="shared" si="8"/>
        <v>0.2857142857142857</v>
      </c>
      <c r="N38"/>
      <c r="O38" s="22">
        <f t="shared" si="9"/>
        <v>0.5</v>
      </c>
      <c r="P38" s="18">
        <f t="shared" si="9"/>
        <v>0.5</v>
      </c>
      <c r="Q38" s="18">
        <f t="shared" si="9"/>
        <v>0.5</v>
      </c>
      <c r="R38" s="5">
        <f t="shared" si="9"/>
        <v>0.5</v>
      </c>
    </row>
    <row r="39" spans="2:24" x14ac:dyDescent="0.25">
      <c r="B39" s="72">
        <v>7</v>
      </c>
      <c r="C39" s="23">
        <f>COUNTA(C25:C26)</f>
        <v>1</v>
      </c>
      <c r="D39" s="23">
        <f t="shared" ref="D39:F39" si="17">COUNTA(D25:D26)</f>
        <v>2</v>
      </c>
      <c r="E39" s="23">
        <f t="shared" si="17"/>
        <v>2</v>
      </c>
      <c r="F39" s="23">
        <f t="shared" si="17"/>
        <v>2</v>
      </c>
      <c r="G39" s="45">
        <f t="shared" si="11"/>
        <v>7</v>
      </c>
      <c r="H39" s="6">
        <f t="shared" si="12"/>
        <v>49</v>
      </c>
      <c r="I39"/>
      <c r="J39" s="22">
        <f t="shared" si="8"/>
        <v>7.1428571428571425E-2</v>
      </c>
      <c r="K39" s="18">
        <f t="shared" si="8"/>
        <v>0.2857142857142857</v>
      </c>
      <c r="L39" s="18">
        <f t="shared" si="8"/>
        <v>0.26666666666666666</v>
      </c>
      <c r="M39" s="5">
        <f t="shared" si="8"/>
        <v>0.2857142857142857</v>
      </c>
      <c r="N39"/>
      <c r="O39" s="22">
        <f t="shared" si="9"/>
        <v>0.14285714285714285</v>
      </c>
      <c r="P39" s="18">
        <f t="shared" si="9"/>
        <v>0.5714285714285714</v>
      </c>
      <c r="Q39" s="18">
        <f t="shared" si="9"/>
        <v>0.5714285714285714</v>
      </c>
      <c r="R39" s="5">
        <f t="shared" si="9"/>
        <v>0.5714285714285714</v>
      </c>
    </row>
    <row r="40" spans="2:24" x14ac:dyDescent="0.25">
      <c r="B40" s="72">
        <v>8</v>
      </c>
      <c r="C40" s="23">
        <f>COUNTA(C27)</f>
        <v>1</v>
      </c>
      <c r="D40" s="23">
        <f t="shared" ref="D40:F40" si="18">COUNTA(D27)</f>
        <v>1</v>
      </c>
      <c r="E40" s="23">
        <f t="shared" si="18"/>
        <v>1</v>
      </c>
      <c r="F40" s="23">
        <f t="shared" si="18"/>
        <v>1</v>
      </c>
      <c r="G40" s="83">
        <f t="shared" si="11"/>
        <v>4</v>
      </c>
      <c r="H40" s="84">
        <f t="shared" si="12"/>
        <v>16</v>
      </c>
      <c r="I40"/>
      <c r="J40" s="24">
        <f t="shared" si="8"/>
        <v>7.1428571428571425E-2</v>
      </c>
      <c r="K40" s="2">
        <f t="shared" si="8"/>
        <v>7.1428571428571425E-2</v>
      </c>
      <c r="L40" s="2">
        <f t="shared" si="8"/>
        <v>6.6666666666666666E-2</v>
      </c>
      <c r="M40" s="31">
        <f t="shared" si="8"/>
        <v>7.1428571428571425E-2</v>
      </c>
      <c r="N40"/>
      <c r="O40" s="24">
        <f t="shared" si="9"/>
        <v>0.25</v>
      </c>
      <c r="P40" s="2">
        <f t="shared" si="9"/>
        <v>0.25</v>
      </c>
      <c r="Q40" s="2">
        <f t="shared" si="9"/>
        <v>0.25</v>
      </c>
      <c r="R40" s="31">
        <f t="shared" si="9"/>
        <v>0.25</v>
      </c>
    </row>
    <row r="41" spans="2:24" ht="21" customHeight="1" x14ac:dyDescent="0.25">
      <c r="B41" s="41"/>
      <c r="C41" s="9">
        <f>SUM(C33:C40)</f>
        <v>14</v>
      </c>
      <c r="D41" s="9">
        <f t="shared" ref="D41:F41" si="19">SUM(D33:D40)</f>
        <v>14</v>
      </c>
      <c r="E41" s="9">
        <f t="shared" si="19"/>
        <v>15</v>
      </c>
      <c r="F41" s="9">
        <f t="shared" si="19"/>
        <v>14</v>
      </c>
      <c r="G41" s="85">
        <f>SUM(C41:F41)</f>
        <v>57</v>
      </c>
      <c r="H41" s="86">
        <f>SUM(H33:H40)</f>
        <v>451</v>
      </c>
      <c r="I41"/>
      <c r="J41"/>
      <c r="K41"/>
      <c r="L41"/>
      <c r="M41"/>
      <c r="N41"/>
      <c r="O41"/>
      <c r="P41"/>
      <c r="Q41"/>
      <c r="R41"/>
    </row>
    <row r="42" spans="2:24" ht="21.75" customHeight="1" x14ac:dyDescent="0.25">
      <c r="B42" s="41"/>
      <c r="C42" s="134">
        <f>C41^2</f>
        <v>196</v>
      </c>
      <c r="D42" s="134">
        <f>D41^2</f>
        <v>196</v>
      </c>
      <c r="E42" s="134">
        <f t="shared" ref="E42:F42" si="20">E41^2</f>
        <v>225</v>
      </c>
      <c r="F42" s="134">
        <f t="shared" si="20"/>
        <v>196</v>
      </c>
      <c r="G42" s="46">
        <f>SUM(C42:F42)</f>
        <v>813</v>
      </c>
      <c r="H42" s="47"/>
      <c r="I42"/>
      <c r="J42"/>
      <c r="K42" s="17"/>
      <c r="L42" s="32"/>
      <c r="M42" s="15"/>
      <c r="N42" s="15"/>
      <c r="O42" s="15"/>
      <c r="P42" s="17"/>
      <c r="Q42" s="33"/>
      <c r="R42"/>
    </row>
    <row r="43" spans="2:24" x14ac:dyDescent="0.25">
      <c r="M43"/>
    </row>
    <row r="44" spans="2:24" ht="22.5" customHeight="1" thickBot="1" x14ac:dyDescent="0.3">
      <c r="C44" s="329"/>
      <c r="D44" s="329"/>
      <c r="E44" s="329"/>
      <c r="F44" s="329"/>
      <c r="G44" s="2"/>
      <c r="H44" s="155"/>
      <c r="J44"/>
      <c r="L44"/>
    </row>
    <row r="45" spans="2:24" s="55" customFormat="1" ht="22.5" customHeight="1" x14ac:dyDescent="0.25">
      <c r="B45" s="87" t="s">
        <v>0</v>
      </c>
      <c r="C45" s="57" t="s">
        <v>1</v>
      </c>
      <c r="D45" s="57" t="s">
        <v>2</v>
      </c>
      <c r="E45" s="57" t="s">
        <v>3</v>
      </c>
      <c r="F45" s="88" t="s">
        <v>4</v>
      </c>
      <c r="G45" s="89"/>
      <c r="H45" s="90"/>
      <c r="I45" s="133"/>
      <c r="J45" s="182" t="s">
        <v>0</v>
      </c>
      <c r="K45" s="183" t="s">
        <v>1</v>
      </c>
      <c r="L45" s="183" t="s">
        <v>2</v>
      </c>
      <c r="M45" s="183" t="s">
        <v>3</v>
      </c>
      <c r="N45" s="184" t="s">
        <v>4</v>
      </c>
      <c r="O45" s="56"/>
      <c r="P45" s="56"/>
      <c r="Q45" s="56"/>
      <c r="R45" s="56"/>
      <c r="S45" s="56"/>
      <c r="T45" s="56"/>
      <c r="U45" s="56"/>
      <c r="V45" s="56"/>
      <c r="W45" s="91"/>
      <c r="X45" s="91"/>
    </row>
    <row r="46" spans="2:24" x14ac:dyDescent="0.25">
      <c r="B46" s="71">
        <v>1</v>
      </c>
      <c r="C46" s="21">
        <f>SUM(C13:C14)</f>
        <v>410</v>
      </c>
      <c r="D46" s="21">
        <f>SUM(D13:D14)</f>
        <v>420</v>
      </c>
      <c r="E46" s="21">
        <f>SUM(E13:E14)</f>
        <v>440</v>
      </c>
      <c r="F46" s="76">
        <f>SUM(F13:F14)</f>
        <v>430</v>
      </c>
      <c r="G46" s="20">
        <f>SUM(C46:F46)</f>
        <v>1700</v>
      </c>
      <c r="H46" s="80">
        <f t="shared" ref="H46:H53" si="21">G46^2/G33</f>
        <v>361250</v>
      </c>
      <c r="I46" s="1">
        <f>AVERAGE(C13:F14)</f>
        <v>212.5</v>
      </c>
      <c r="J46" s="185">
        <v>1</v>
      </c>
      <c r="K46" s="25">
        <f t="shared" ref="K46:N53" si="22">IF(C33&gt;0,C46^2/C33,"")</f>
        <v>84050</v>
      </c>
      <c r="L46" s="25">
        <f t="shared" si="22"/>
        <v>88200</v>
      </c>
      <c r="M46" s="25">
        <f t="shared" si="22"/>
        <v>96800</v>
      </c>
      <c r="N46" s="186">
        <f t="shared" si="22"/>
        <v>92450</v>
      </c>
    </row>
    <row r="47" spans="2:24" x14ac:dyDescent="0.25">
      <c r="B47" s="72">
        <v>2</v>
      </c>
      <c r="C47" s="23">
        <f>SUM(C15:C16)</f>
        <v>470</v>
      </c>
      <c r="D47" s="23">
        <f>SUM(D15:D16)</f>
        <v>560</v>
      </c>
      <c r="E47" s="23">
        <f>SUM(E15:E16)</f>
        <v>520</v>
      </c>
      <c r="F47" s="7">
        <f>SUM(F15:F16)</f>
        <v>545</v>
      </c>
      <c r="G47" s="20">
        <f t="shared" ref="G47:G53" si="23">SUM(C47:F47)</f>
        <v>2095</v>
      </c>
      <c r="H47" s="80">
        <f t="shared" si="21"/>
        <v>548628.125</v>
      </c>
      <c r="I47" s="1">
        <f>AVERAGE(C15:F16)</f>
        <v>261.875</v>
      </c>
      <c r="J47" s="187">
        <v>2</v>
      </c>
      <c r="K47" s="25">
        <f t="shared" si="22"/>
        <v>110450</v>
      </c>
      <c r="L47" s="25">
        <f t="shared" si="22"/>
        <v>156800</v>
      </c>
      <c r="M47" s="25">
        <f t="shared" si="22"/>
        <v>135200</v>
      </c>
      <c r="N47" s="188">
        <f t="shared" si="22"/>
        <v>148512.5</v>
      </c>
    </row>
    <row r="48" spans="2:24" x14ac:dyDescent="0.25">
      <c r="B48" s="72">
        <v>3</v>
      </c>
      <c r="C48" s="23">
        <f>SUM(C17:C19)</f>
        <v>810</v>
      </c>
      <c r="D48" s="23">
        <f>SUM(D17:D19)</f>
        <v>545</v>
      </c>
      <c r="E48" s="23">
        <f>SUM(E17:E19)</f>
        <v>830</v>
      </c>
      <c r="F48" s="7">
        <f>SUM(F17:F19)</f>
        <v>845</v>
      </c>
      <c r="G48" s="20">
        <f t="shared" si="23"/>
        <v>3030</v>
      </c>
      <c r="H48" s="80">
        <f t="shared" si="21"/>
        <v>834627.27272727271</v>
      </c>
      <c r="I48" s="1">
        <f>AVERAGE(C17:F19)</f>
        <v>275.45454545454544</v>
      </c>
      <c r="J48" s="187">
        <v>3</v>
      </c>
      <c r="K48" s="25">
        <f t="shared" si="22"/>
        <v>218700</v>
      </c>
      <c r="L48" s="25">
        <f t="shared" si="22"/>
        <v>148512.5</v>
      </c>
      <c r="M48" s="25">
        <f t="shared" si="22"/>
        <v>229633.33333333334</v>
      </c>
      <c r="N48" s="188">
        <f t="shared" si="22"/>
        <v>238008.33333333334</v>
      </c>
    </row>
    <row r="49" spans="2:24" x14ac:dyDescent="0.25">
      <c r="B49" s="72">
        <v>4</v>
      </c>
      <c r="C49" s="23">
        <f>SUM(C20)</f>
        <v>275</v>
      </c>
      <c r="D49" s="23">
        <f t="shared" ref="D49:F49" si="24">SUM(D20)</f>
        <v>275</v>
      </c>
      <c r="E49" s="23">
        <f t="shared" si="24"/>
        <v>275</v>
      </c>
      <c r="F49" s="7">
        <f t="shared" si="24"/>
        <v>0</v>
      </c>
      <c r="G49" s="20">
        <f t="shared" si="23"/>
        <v>825</v>
      </c>
      <c r="H49" s="80">
        <f t="shared" si="21"/>
        <v>226875</v>
      </c>
      <c r="I49" s="1">
        <f>AVERAGE(C20:F20)</f>
        <v>275</v>
      </c>
      <c r="J49" s="187">
        <v>4</v>
      </c>
      <c r="K49" s="25">
        <f t="shared" si="22"/>
        <v>75625</v>
      </c>
      <c r="L49" s="25">
        <f t="shared" si="22"/>
        <v>75625</v>
      </c>
      <c r="M49" s="25">
        <f t="shared" si="22"/>
        <v>75625</v>
      </c>
      <c r="N49" s="188" t="str">
        <f t="shared" si="22"/>
        <v/>
      </c>
    </row>
    <row r="50" spans="2:24" x14ac:dyDescent="0.25">
      <c r="B50" s="72">
        <v>5</v>
      </c>
      <c r="C50" s="23">
        <f>SUM(C21:C22)</f>
        <v>600</v>
      </c>
      <c r="D50" s="23">
        <f>SUM(D21:D22)</f>
        <v>580</v>
      </c>
      <c r="E50" s="23">
        <f>SUM(E21:E22)</f>
        <v>600</v>
      </c>
      <c r="F50" s="7">
        <f>SUM(F21:F22)</f>
        <v>580</v>
      </c>
      <c r="G50" s="20">
        <f t="shared" si="23"/>
        <v>2360</v>
      </c>
      <c r="H50" s="80">
        <f t="shared" si="21"/>
        <v>696200</v>
      </c>
      <c r="I50" s="1">
        <f>AVERAGE(C21:F22)</f>
        <v>295</v>
      </c>
      <c r="J50" s="187">
        <v>5</v>
      </c>
      <c r="K50" s="25">
        <f t="shared" si="22"/>
        <v>180000</v>
      </c>
      <c r="L50" s="25">
        <f t="shared" si="22"/>
        <v>168200</v>
      </c>
      <c r="M50" s="25">
        <f t="shared" si="22"/>
        <v>180000</v>
      </c>
      <c r="N50" s="188">
        <f t="shared" si="22"/>
        <v>168200</v>
      </c>
    </row>
    <row r="51" spans="2:24" x14ac:dyDescent="0.25">
      <c r="B51" s="72">
        <v>6</v>
      </c>
      <c r="C51" s="23">
        <f>SUM(C23:C24)</f>
        <v>570</v>
      </c>
      <c r="D51" s="23">
        <f>SUM(D23:D24)</f>
        <v>550</v>
      </c>
      <c r="E51" s="23">
        <f>SUM(E23:E24)</f>
        <v>640</v>
      </c>
      <c r="F51" s="7">
        <f>SUM(F23:F24)</f>
        <v>670</v>
      </c>
      <c r="G51" s="20">
        <f t="shared" si="23"/>
        <v>2430</v>
      </c>
      <c r="H51" s="80">
        <f t="shared" si="21"/>
        <v>738112.5</v>
      </c>
      <c r="I51" s="1">
        <f>AVERAGE(C23:F24)</f>
        <v>303.75</v>
      </c>
      <c r="J51" s="187">
        <v>6</v>
      </c>
      <c r="K51" s="25">
        <f t="shared" si="22"/>
        <v>162450</v>
      </c>
      <c r="L51" s="25">
        <f t="shared" si="22"/>
        <v>151250</v>
      </c>
      <c r="M51" s="25">
        <f t="shared" si="22"/>
        <v>204800</v>
      </c>
      <c r="N51" s="188">
        <f t="shared" si="22"/>
        <v>224450</v>
      </c>
    </row>
    <row r="52" spans="2:24" x14ac:dyDescent="0.25">
      <c r="B52" s="72">
        <v>7</v>
      </c>
      <c r="C52" s="23">
        <f>SUM(C25:C26)</f>
        <v>320</v>
      </c>
      <c r="D52" s="23">
        <f>SUM(D25:D26)</f>
        <v>650</v>
      </c>
      <c r="E52" s="23">
        <f>SUM(E25:E26)</f>
        <v>665</v>
      </c>
      <c r="F52" s="7">
        <f>SUM(F25:F26)</f>
        <v>705</v>
      </c>
      <c r="G52" s="20">
        <f t="shared" si="23"/>
        <v>2340</v>
      </c>
      <c r="H52" s="80">
        <f t="shared" si="21"/>
        <v>782228.57142857148</v>
      </c>
      <c r="I52" s="1">
        <f>AVERAGE(C25:F26)</f>
        <v>334.28571428571428</v>
      </c>
      <c r="J52" s="187">
        <v>7</v>
      </c>
      <c r="K52" s="25">
        <f t="shared" si="22"/>
        <v>102400</v>
      </c>
      <c r="L52" s="25">
        <f t="shared" si="22"/>
        <v>211250</v>
      </c>
      <c r="M52" s="25">
        <f t="shared" si="22"/>
        <v>221112.5</v>
      </c>
      <c r="N52" s="188">
        <f t="shared" si="22"/>
        <v>248512.5</v>
      </c>
    </row>
    <row r="53" spans="2:24" ht="15.75" thickBot="1" x14ac:dyDescent="0.3">
      <c r="B53" s="75">
        <v>8</v>
      </c>
      <c r="C53" s="155">
        <f>SUM(C27)</f>
        <v>350</v>
      </c>
      <c r="D53" s="155">
        <f>SUM(D27)</f>
        <v>320</v>
      </c>
      <c r="E53" s="155">
        <f>SUM(E27)</f>
        <v>340</v>
      </c>
      <c r="F53" s="10">
        <f>SUM(F27)</f>
        <v>365</v>
      </c>
      <c r="G53" s="40">
        <f t="shared" si="23"/>
        <v>1375</v>
      </c>
      <c r="H53" s="37">
        <f t="shared" si="21"/>
        <v>472656.25</v>
      </c>
      <c r="I53" s="155">
        <f>AVERAGE(C27:F27)</f>
        <v>343.75</v>
      </c>
      <c r="J53" s="189">
        <v>8</v>
      </c>
      <c r="K53" s="190">
        <f t="shared" si="22"/>
        <v>122500</v>
      </c>
      <c r="L53" s="190">
        <f t="shared" si="22"/>
        <v>102400</v>
      </c>
      <c r="M53" s="190">
        <f t="shared" si="22"/>
        <v>115600</v>
      </c>
      <c r="N53" s="191">
        <f t="shared" si="22"/>
        <v>133225</v>
      </c>
    </row>
    <row r="54" spans="2:24" s="1" customFormat="1" ht="21" customHeight="1" x14ac:dyDescent="0.25">
      <c r="B54" s="81"/>
      <c r="C54" s="20">
        <f>SUM(C46:C53)</f>
        <v>3805</v>
      </c>
      <c r="D54" s="20">
        <f t="shared" ref="D54:F54" si="25">SUM(D46:D53)</f>
        <v>3900</v>
      </c>
      <c r="E54" s="20">
        <f t="shared" si="25"/>
        <v>4310</v>
      </c>
      <c r="F54" s="79">
        <f t="shared" si="25"/>
        <v>4140</v>
      </c>
      <c r="G54" s="20">
        <f>SUM(G46:G53)</f>
        <v>16155</v>
      </c>
      <c r="H54" s="80">
        <f>SUM(H46:H53)</f>
        <v>4660577.7191558443</v>
      </c>
      <c r="W54" s="158"/>
      <c r="X54" s="158"/>
    </row>
    <row r="55" spans="2:24" s="1" customFormat="1" ht="21" customHeight="1" x14ac:dyDescent="0.25">
      <c r="B55" s="5"/>
      <c r="C55" s="80">
        <f>C54^2/C41</f>
        <v>1034144.6428571428</v>
      </c>
      <c r="D55" s="80">
        <f>D54^2/D41</f>
        <v>1086428.5714285714</v>
      </c>
      <c r="E55" s="80">
        <f>E54^2/E41</f>
        <v>1238406.6666666667</v>
      </c>
      <c r="F55" s="82">
        <f>F54^2/F41</f>
        <v>1224257.142857143</v>
      </c>
      <c r="G55" s="80">
        <f>SUM(C55:F55)</f>
        <v>4583237.0238095233</v>
      </c>
      <c r="W55" s="158"/>
      <c r="X55" s="158"/>
    </row>
    <row r="56" spans="2:24" x14ac:dyDescent="0.25">
      <c r="B56" s="5"/>
      <c r="C56" s="1">
        <f>AVERAGE(C13:C27)</f>
        <v>271.78571428571428</v>
      </c>
      <c r="D56" s="1">
        <f>AVERAGE(D13:D27)</f>
        <v>278.57142857142856</v>
      </c>
      <c r="E56" s="1">
        <f>AVERAGE(E13:E27)</f>
        <v>287.33333333333331</v>
      </c>
      <c r="F56" s="1">
        <f>AVERAGE(F13:F27)</f>
        <v>295.71428571428572</v>
      </c>
      <c r="G56"/>
    </row>
  </sheetData>
  <mergeCells count="1">
    <mergeCell ref="C44:F44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 5.1</vt:lpstr>
      <vt:lpstr>Example 5.2</vt:lpstr>
      <vt:lpstr>Example 5.3</vt:lpstr>
      <vt:lpstr>Example 5.4</vt:lpstr>
      <vt:lpstr>Example 5.5 (Table 9.2 Data)</vt:lpstr>
      <vt:lpstr>Example 5.5 (Table 5.2 Data)</vt:lpstr>
    </vt:vector>
  </TitlesOfParts>
  <Company>Advanced Analytics,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Gwet</dc:creator>
  <cp:lastModifiedBy>KL Gwet</cp:lastModifiedBy>
  <dcterms:created xsi:type="dcterms:W3CDTF">2011-10-29T10:10:14Z</dcterms:created>
  <dcterms:modified xsi:type="dcterms:W3CDTF">2021-01-12T15:39:11Z</dcterms:modified>
</cp:coreProperties>
</file>